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loprete\Downloads\"/>
    </mc:Choice>
  </mc:AlternateContent>
  <xr:revisionPtr revIDLastSave="0" documentId="13_ncr:1_{A9FDC8EF-7119-41B4-B684-01D29329B1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anamá" sheetId="1" r:id="rId1"/>
  </sheets>
  <definedNames>
    <definedName name="Z_BF04FDB0_2893_4A67_9200_06C4A880FAA5_.wvu.FilterData" localSheetId="0" hidden="1">Panamá!$AD$6:$AL$405</definedName>
    <definedName name="Z_DAD729B4_E4FB_48DF_AD37_7C7F4A6B05C7_.wvu.FilterData" localSheetId="0" hidden="1">Panamá!$A$6:$BT$408</definedName>
  </definedNames>
  <calcPr calcId="191029"/>
  <customWorkbookViews>
    <customWorkbookView name="Filter 1" guid="{BF04FDB0-2893-4A67-9200-06C4A880FAA5}" maximized="1" windowWidth="0" windowHeight="0" activeSheetId="0"/>
    <customWorkbookView name="Filter 2" guid="{DAD729B4-E4FB-48DF-AD37-7C7F4A6B05C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dKf1HvRlH54OmoN3sBcrWFiGKzFAS+sxKfi7Db3lW0="/>
    </ext>
  </extLst>
</workbook>
</file>

<file path=xl/calcChain.xml><?xml version="1.0" encoding="utf-8"?>
<calcChain xmlns="http://schemas.openxmlformats.org/spreadsheetml/2006/main">
  <c r="O404" i="1" l="1"/>
  <c r="N404" i="1"/>
  <c r="L404" i="1"/>
  <c r="L403" i="1"/>
  <c r="Q397" i="1"/>
  <c r="P397" i="1"/>
  <c r="BM396" i="1"/>
  <c r="AZ396" i="1"/>
  <c r="AY396" i="1"/>
  <c r="BA396" i="1" s="1"/>
  <c r="BF396" i="1" s="1"/>
  <c r="AR396" i="1"/>
  <c r="AQ396" i="1"/>
  <c r="AP396" i="1"/>
  <c r="R396" i="1"/>
  <c r="S396" i="1" s="1"/>
  <c r="Q396" i="1"/>
  <c r="P396" i="1"/>
  <c r="Q395" i="1"/>
  <c r="P395" i="1"/>
  <c r="BM394" i="1"/>
  <c r="BD394" i="1"/>
  <c r="BC394" i="1"/>
  <c r="BB394" i="1"/>
  <c r="BA394" i="1"/>
  <c r="BF394" i="1" s="1"/>
  <c r="AZ394" i="1"/>
  <c r="AY394" i="1"/>
  <c r="AR394" i="1"/>
  <c r="AQ394" i="1"/>
  <c r="AP394" i="1"/>
  <c r="R394" i="1"/>
  <c r="S394" i="1" s="1"/>
  <c r="Q394" i="1"/>
  <c r="P394" i="1"/>
  <c r="BM393" i="1"/>
  <c r="BD393" i="1"/>
  <c r="BB393" i="1"/>
  <c r="AZ393" i="1"/>
  <c r="AY393" i="1"/>
  <c r="BA393" i="1" s="1"/>
  <c r="AW393" i="1"/>
  <c r="AR393" i="1"/>
  <c r="AQ393" i="1"/>
  <c r="AP393" i="1"/>
  <c r="Q393" i="1"/>
  <c r="R393" i="1" s="1"/>
  <c r="S393" i="1" s="1"/>
  <c r="P393" i="1"/>
  <c r="BM392" i="1"/>
  <c r="BI392" i="1"/>
  <c r="BD392" i="1"/>
  <c r="BC392" i="1"/>
  <c r="BA392" i="1"/>
  <c r="AZ392" i="1"/>
  <c r="AY392" i="1"/>
  <c r="AQ392" i="1"/>
  <c r="AP392" i="1"/>
  <c r="AR392" i="1" s="1"/>
  <c r="R392" i="1"/>
  <c r="S392" i="1" s="1"/>
  <c r="Q392" i="1"/>
  <c r="P392" i="1"/>
  <c r="BM391" i="1"/>
  <c r="BI391" i="1"/>
  <c r="AZ391" i="1"/>
  <c r="BA391" i="1" s="1"/>
  <c r="AY391" i="1"/>
  <c r="AR391" i="1"/>
  <c r="AQ391" i="1"/>
  <c r="AP391" i="1"/>
  <c r="S391" i="1"/>
  <c r="R391" i="1"/>
  <c r="Q391" i="1"/>
  <c r="P391" i="1"/>
  <c r="C391" i="1"/>
  <c r="BM390" i="1"/>
  <c r="BB390" i="1"/>
  <c r="BA390" i="1"/>
  <c r="AZ390" i="1"/>
  <c r="AY390" i="1"/>
  <c r="AU390" i="1"/>
  <c r="AQ390" i="1"/>
  <c r="AP390" i="1"/>
  <c r="AR390" i="1" s="1"/>
  <c r="S390" i="1"/>
  <c r="R390" i="1"/>
  <c r="Q390" i="1"/>
  <c r="P390" i="1"/>
  <c r="BM389" i="1"/>
  <c r="BC389" i="1"/>
  <c r="BB389" i="1"/>
  <c r="BA389" i="1"/>
  <c r="AZ389" i="1"/>
  <c r="AY389" i="1"/>
  <c r="AQ389" i="1"/>
  <c r="AR389" i="1" s="1"/>
  <c r="AP389" i="1"/>
  <c r="R389" i="1"/>
  <c r="S389" i="1" s="1"/>
  <c r="Q389" i="1"/>
  <c r="P389" i="1"/>
  <c r="BM388" i="1"/>
  <c r="AZ388" i="1"/>
  <c r="AY388" i="1"/>
  <c r="AR388" i="1"/>
  <c r="AQ388" i="1"/>
  <c r="AP388" i="1"/>
  <c r="R388" i="1"/>
  <c r="S388" i="1" s="1"/>
  <c r="Q388" i="1"/>
  <c r="P388" i="1"/>
  <c r="BM387" i="1"/>
  <c r="AZ387" i="1"/>
  <c r="AY387" i="1"/>
  <c r="AW387" i="1"/>
  <c r="AU387" i="1"/>
  <c r="AT387" i="1"/>
  <c r="AS387" i="1"/>
  <c r="AR387" i="1"/>
  <c r="AQ387" i="1"/>
  <c r="AP387" i="1"/>
  <c r="R387" i="1"/>
  <c r="S387" i="1" s="1"/>
  <c r="Q387" i="1"/>
  <c r="P387" i="1"/>
  <c r="Q386" i="1"/>
  <c r="P386" i="1"/>
  <c r="BM385" i="1"/>
  <c r="BF385" i="1"/>
  <c r="AZ385" i="1"/>
  <c r="BA385" i="1" s="1"/>
  <c r="AY385" i="1"/>
  <c r="AR385" i="1"/>
  <c r="AQ385" i="1"/>
  <c r="AP385" i="1"/>
  <c r="R385" i="1"/>
  <c r="S385" i="1" s="1"/>
  <c r="Q385" i="1"/>
  <c r="P385" i="1"/>
  <c r="BM384" i="1"/>
  <c r="BF384" i="1"/>
  <c r="AZ384" i="1"/>
  <c r="AY384" i="1"/>
  <c r="BA384" i="1" s="1"/>
  <c r="AR384" i="1"/>
  <c r="AQ384" i="1"/>
  <c r="AP384" i="1"/>
  <c r="Q384" i="1"/>
  <c r="R384" i="1" s="1"/>
  <c r="S384" i="1" s="1"/>
  <c r="P384" i="1"/>
  <c r="BM383" i="1"/>
  <c r="AZ383" i="1"/>
  <c r="AY383" i="1"/>
  <c r="BA383" i="1" s="1"/>
  <c r="AQ383" i="1"/>
  <c r="AR383" i="1" s="1"/>
  <c r="BI383" i="1" s="1"/>
  <c r="AP383" i="1"/>
  <c r="Q383" i="1"/>
  <c r="P383" i="1"/>
  <c r="J383" i="1"/>
  <c r="R383" i="1" s="1"/>
  <c r="S383" i="1" s="1"/>
  <c r="BM382" i="1"/>
  <c r="AZ382" i="1"/>
  <c r="BA382" i="1" s="1"/>
  <c r="AY382" i="1"/>
  <c r="AR382" i="1"/>
  <c r="AQ382" i="1"/>
  <c r="AP382" i="1"/>
  <c r="R382" i="1"/>
  <c r="S382" i="1" s="1"/>
  <c r="Q382" i="1"/>
  <c r="P382" i="1"/>
  <c r="J382" i="1"/>
  <c r="BM381" i="1"/>
  <c r="BA381" i="1"/>
  <c r="AZ381" i="1"/>
  <c r="AY381" i="1"/>
  <c r="AW381" i="1"/>
  <c r="AU381" i="1"/>
  <c r="AS381" i="1"/>
  <c r="AQ381" i="1"/>
  <c r="AP381" i="1"/>
  <c r="AR381" i="1" s="1"/>
  <c r="Q381" i="1"/>
  <c r="R381" i="1" s="1"/>
  <c r="S381" i="1" s="1"/>
  <c r="P381" i="1"/>
  <c r="BM380" i="1"/>
  <c r="BD380" i="1"/>
  <c r="BC380" i="1"/>
  <c r="BB380" i="1"/>
  <c r="AZ380" i="1"/>
  <c r="AY380" i="1"/>
  <c r="BA380" i="1" s="1"/>
  <c r="BF380" i="1" s="1"/>
  <c r="AS380" i="1"/>
  <c r="AR380" i="1"/>
  <c r="AQ380" i="1"/>
  <c r="AP380" i="1"/>
  <c r="S380" i="1"/>
  <c r="R380" i="1"/>
  <c r="Q380" i="1"/>
  <c r="P380" i="1"/>
  <c r="J380" i="1"/>
  <c r="Q379" i="1"/>
  <c r="P379" i="1"/>
  <c r="BM378" i="1"/>
  <c r="BB378" i="1"/>
  <c r="AZ378" i="1"/>
  <c r="AY378" i="1"/>
  <c r="BA378" i="1" s="1"/>
  <c r="AU378" i="1"/>
  <c r="AQ378" i="1"/>
  <c r="AR378" i="1" s="1"/>
  <c r="AP378" i="1"/>
  <c r="Q378" i="1"/>
  <c r="P378" i="1"/>
  <c r="J378" i="1"/>
  <c r="R378" i="1" s="1"/>
  <c r="S378" i="1" s="1"/>
  <c r="BM377" i="1"/>
  <c r="BB377" i="1"/>
  <c r="BA377" i="1"/>
  <c r="AZ377" i="1"/>
  <c r="AY377" i="1"/>
  <c r="AT377" i="1"/>
  <c r="AS377" i="1"/>
  <c r="AQ377" i="1"/>
  <c r="AP377" i="1"/>
  <c r="AR377" i="1" s="1"/>
  <c r="L377" i="1"/>
  <c r="J377" i="1"/>
  <c r="BM376" i="1"/>
  <c r="AZ376" i="1"/>
  <c r="AY376" i="1"/>
  <c r="AR376" i="1"/>
  <c r="AQ376" i="1"/>
  <c r="AP376" i="1"/>
  <c r="S376" i="1"/>
  <c r="Q376" i="1"/>
  <c r="P376" i="1"/>
  <c r="J376" i="1"/>
  <c r="R376" i="1" s="1"/>
  <c r="C376" i="1"/>
  <c r="BM375" i="1"/>
  <c r="AZ375" i="1"/>
  <c r="AY375" i="1"/>
  <c r="AQ375" i="1"/>
  <c r="AR375" i="1" s="1"/>
  <c r="AP375" i="1"/>
  <c r="Q375" i="1"/>
  <c r="P375" i="1"/>
  <c r="J375" i="1"/>
  <c r="R375" i="1" s="1"/>
  <c r="S375" i="1" s="1"/>
  <c r="C375" i="1"/>
  <c r="BM374" i="1"/>
  <c r="AZ374" i="1"/>
  <c r="AY374" i="1"/>
  <c r="BA374" i="1" s="1"/>
  <c r="AW374" i="1"/>
  <c r="AT374" i="1"/>
  <c r="AS374" i="1"/>
  <c r="AR374" i="1"/>
  <c r="AU374" i="1" s="1"/>
  <c r="AQ374" i="1"/>
  <c r="AP374" i="1"/>
  <c r="R374" i="1"/>
  <c r="S374" i="1" s="1"/>
  <c r="Q374" i="1"/>
  <c r="P374" i="1"/>
  <c r="J374" i="1"/>
  <c r="BM373" i="1"/>
  <c r="BF373" i="1"/>
  <c r="BD373" i="1"/>
  <c r="BC373" i="1"/>
  <c r="BA373" i="1"/>
  <c r="BB373" i="1" s="1"/>
  <c r="AZ373" i="1"/>
  <c r="AY373" i="1"/>
  <c r="AR373" i="1"/>
  <c r="AQ373" i="1"/>
  <c r="AP373" i="1"/>
  <c r="S373" i="1"/>
  <c r="R373" i="1"/>
  <c r="Q373" i="1"/>
  <c r="P373" i="1"/>
  <c r="J373" i="1"/>
  <c r="BM372" i="1"/>
  <c r="BD372" i="1"/>
  <c r="BA372" i="1"/>
  <c r="BC372" i="1" s="1"/>
  <c r="AZ372" i="1"/>
  <c r="AY372" i="1"/>
  <c r="AW372" i="1"/>
  <c r="AT372" i="1"/>
  <c r="BH372" i="1" s="1"/>
  <c r="AR372" i="1"/>
  <c r="AQ372" i="1"/>
  <c r="AP372" i="1"/>
  <c r="R372" i="1"/>
  <c r="S372" i="1" s="1"/>
  <c r="Q372" i="1"/>
  <c r="P372" i="1"/>
  <c r="J372" i="1"/>
  <c r="BM371" i="1"/>
  <c r="BD371" i="1"/>
  <c r="AZ371" i="1"/>
  <c r="BA371" i="1" s="1"/>
  <c r="AY371" i="1"/>
  <c r="AQ371" i="1"/>
  <c r="AP371" i="1"/>
  <c r="AR371" i="1" s="1"/>
  <c r="Q371" i="1"/>
  <c r="P371" i="1"/>
  <c r="L371" i="1"/>
  <c r="J371" i="1"/>
  <c r="E371" i="1"/>
  <c r="C371" i="1"/>
  <c r="BM370" i="1"/>
  <c r="AZ370" i="1"/>
  <c r="BA370" i="1" s="1"/>
  <c r="AY370" i="1"/>
  <c r="AQ370" i="1"/>
  <c r="AP370" i="1"/>
  <c r="AR370" i="1" s="1"/>
  <c r="Q370" i="1"/>
  <c r="P370" i="1"/>
  <c r="J370" i="1"/>
  <c r="R370" i="1" s="1"/>
  <c r="S370" i="1" s="1"/>
  <c r="BM369" i="1"/>
  <c r="BA369" i="1"/>
  <c r="AZ369" i="1"/>
  <c r="AY369" i="1"/>
  <c r="AQ369" i="1"/>
  <c r="AP369" i="1"/>
  <c r="Q369" i="1"/>
  <c r="R369" i="1" s="1"/>
  <c r="S369" i="1" s="1"/>
  <c r="P369" i="1"/>
  <c r="BM368" i="1"/>
  <c r="BB368" i="1"/>
  <c r="BA368" i="1"/>
  <c r="BF368" i="1" s="1"/>
  <c r="AZ368" i="1"/>
  <c r="AY368" i="1"/>
  <c r="AQ368" i="1"/>
  <c r="AR368" i="1" s="1"/>
  <c r="AP368" i="1"/>
  <c r="Q368" i="1"/>
  <c r="P368" i="1"/>
  <c r="J368" i="1"/>
  <c r="R368" i="1" s="1"/>
  <c r="S368" i="1" s="1"/>
  <c r="BM367" i="1"/>
  <c r="BD367" i="1"/>
  <c r="BC367" i="1"/>
  <c r="AZ367" i="1"/>
  <c r="AY367" i="1"/>
  <c r="BA367" i="1" s="1"/>
  <c r="AU367" i="1"/>
  <c r="AT367" i="1"/>
  <c r="AS367" i="1"/>
  <c r="AR367" i="1"/>
  <c r="BI367" i="1" s="1"/>
  <c r="BK367" i="1" s="1"/>
  <c r="AQ367" i="1"/>
  <c r="AP367" i="1"/>
  <c r="R367" i="1"/>
  <c r="S367" i="1" s="1"/>
  <c r="Q367" i="1"/>
  <c r="P367" i="1"/>
  <c r="J367" i="1"/>
  <c r="BM366" i="1"/>
  <c r="AZ366" i="1"/>
  <c r="AY366" i="1"/>
  <c r="BA366" i="1" s="1"/>
  <c r="AR366" i="1"/>
  <c r="AQ366" i="1"/>
  <c r="AP366" i="1"/>
  <c r="Q366" i="1"/>
  <c r="P366" i="1"/>
  <c r="N366" i="1"/>
  <c r="M366" i="1"/>
  <c r="J366" i="1"/>
  <c r="R366" i="1" s="1"/>
  <c r="BM365" i="1"/>
  <c r="BC365" i="1"/>
  <c r="BB365" i="1"/>
  <c r="BA365" i="1"/>
  <c r="BD365" i="1" s="1"/>
  <c r="AZ365" i="1"/>
  <c r="AY365" i="1"/>
  <c r="AQ365" i="1"/>
  <c r="AP365" i="1"/>
  <c r="AR365" i="1" s="1"/>
  <c r="Q365" i="1"/>
  <c r="R365" i="1" s="1"/>
  <c r="P365" i="1"/>
  <c r="J365" i="1"/>
  <c r="BM364" i="1"/>
  <c r="AZ364" i="1"/>
  <c r="AY364" i="1"/>
  <c r="BA364" i="1" s="1"/>
  <c r="AU364" i="1"/>
  <c r="AQ364" i="1"/>
  <c r="AR364" i="1" s="1"/>
  <c r="AP364" i="1"/>
  <c r="Q364" i="1"/>
  <c r="P364" i="1"/>
  <c r="J364" i="1"/>
  <c r="R364" i="1" s="1"/>
  <c r="S364" i="1" s="1"/>
  <c r="C364" i="1"/>
  <c r="BM363" i="1"/>
  <c r="BD363" i="1"/>
  <c r="AZ363" i="1"/>
  <c r="AY363" i="1"/>
  <c r="BA363" i="1" s="1"/>
  <c r="AT363" i="1"/>
  <c r="AQ363" i="1"/>
  <c r="AP363" i="1"/>
  <c r="AR363" i="1" s="1"/>
  <c r="Q363" i="1"/>
  <c r="R363" i="1" s="1"/>
  <c r="S363" i="1" s="1"/>
  <c r="P363" i="1"/>
  <c r="J363" i="1"/>
  <c r="BM362" i="1"/>
  <c r="BD362" i="1"/>
  <c r="BA362" i="1"/>
  <c r="AZ362" i="1"/>
  <c r="AY362" i="1"/>
  <c r="AR362" i="1"/>
  <c r="AQ362" i="1"/>
  <c r="AP362" i="1"/>
  <c r="Q362" i="1"/>
  <c r="P362" i="1"/>
  <c r="J362" i="1"/>
  <c r="R362" i="1" s="1"/>
  <c r="S362" i="1" s="1"/>
  <c r="BM361" i="1"/>
  <c r="AZ361" i="1"/>
  <c r="AY361" i="1"/>
  <c r="AQ361" i="1"/>
  <c r="AP361" i="1"/>
  <c r="AR361" i="1" s="1"/>
  <c r="Q361" i="1"/>
  <c r="R361" i="1" s="1"/>
  <c r="S361" i="1" s="1"/>
  <c r="P361" i="1"/>
  <c r="BM360" i="1"/>
  <c r="BF360" i="1"/>
  <c r="BC360" i="1"/>
  <c r="BB360" i="1"/>
  <c r="AZ360" i="1"/>
  <c r="AY360" i="1"/>
  <c r="BA360" i="1" s="1"/>
  <c r="BD360" i="1" s="1"/>
  <c r="AT360" i="1"/>
  <c r="AQ360" i="1"/>
  <c r="AP360" i="1"/>
  <c r="AR360" i="1" s="1"/>
  <c r="P360" i="1"/>
  <c r="L360" i="1"/>
  <c r="Q360" i="1" s="1"/>
  <c r="R360" i="1" s="1"/>
  <c r="S360" i="1" s="1"/>
  <c r="J360" i="1"/>
  <c r="BM359" i="1"/>
  <c r="BA359" i="1"/>
  <c r="AZ359" i="1"/>
  <c r="AY359" i="1"/>
  <c r="AQ359" i="1"/>
  <c r="AP359" i="1"/>
  <c r="Q359" i="1"/>
  <c r="P359" i="1"/>
  <c r="J359" i="1"/>
  <c r="R359" i="1" s="1"/>
  <c r="S359" i="1" s="1"/>
  <c r="BM358" i="1"/>
  <c r="AZ358" i="1"/>
  <c r="AY358" i="1"/>
  <c r="BA358" i="1" s="1"/>
  <c r="AR358" i="1"/>
  <c r="AQ358" i="1"/>
  <c r="AP358" i="1"/>
  <c r="Q358" i="1"/>
  <c r="R358" i="1" s="1"/>
  <c r="S358" i="1" s="1"/>
  <c r="L358" i="1"/>
  <c r="P358" i="1" s="1"/>
  <c r="J358" i="1"/>
  <c r="BM357" i="1"/>
  <c r="BF357" i="1"/>
  <c r="AZ357" i="1"/>
  <c r="AY357" i="1"/>
  <c r="BA357" i="1" s="1"/>
  <c r="AU357" i="1"/>
  <c r="AT357" i="1"/>
  <c r="AQ357" i="1"/>
  <c r="AP357" i="1"/>
  <c r="AR357" i="1" s="1"/>
  <c r="R357" i="1"/>
  <c r="S357" i="1" s="1"/>
  <c r="Q357" i="1"/>
  <c r="P357" i="1"/>
  <c r="J357" i="1"/>
  <c r="BM356" i="1"/>
  <c r="BF356" i="1"/>
  <c r="AZ356" i="1"/>
  <c r="BA356" i="1" s="1"/>
  <c r="AY356" i="1"/>
  <c r="AR356" i="1"/>
  <c r="AQ356" i="1"/>
  <c r="AP356" i="1"/>
  <c r="S356" i="1"/>
  <c r="R356" i="1"/>
  <c r="Q356" i="1"/>
  <c r="P356" i="1"/>
  <c r="J356" i="1"/>
  <c r="BM355" i="1"/>
  <c r="BC355" i="1"/>
  <c r="AZ355" i="1"/>
  <c r="AY355" i="1"/>
  <c r="BA355" i="1" s="1"/>
  <c r="AR355" i="1"/>
  <c r="AQ355" i="1"/>
  <c r="AP355" i="1"/>
  <c r="Q355" i="1"/>
  <c r="R355" i="1" s="1"/>
  <c r="S355" i="1" s="1"/>
  <c r="P355" i="1"/>
  <c r="J355" i="1"/>
  <c r="BM354" i="1"/>
  <c r="AZ354" i="1"/>
  <c r="AY354" i="1"/>
  <c r="AQ354" i="1"/>
  <c r="AP354" i="1"/>
  <c r="AR354" i="1" s="1"/>
  <c r="Q354" i="1"/>
  <c r="P354" i="1"/>
  <c r="O354" i="1"/>
  <c r="N354" i="1"/>
  <c r="M354" i="1"/>
  <c r="J354" i="1"/>
  <c r="BM353" i="1"/>
  <c r="AZ353" i="1"/>
  <c r="BA353" i="1" s="1"/>
  <c r="AY353" i="1"/>
  <c r="AQ353" i="1"/>
  <c r="AP353" i="1"/>
  <c r="AR353" i="1" s="1"/>
  <c r="R353" i="1"/>
  <c r="S353" i="1" s="1"/>
  <c r="Q353" i="1"/>
  <c r="P353" i="1"/>
  <c r="J353" i="1"/>
  <c r="BM352" i="1"/>
  <c r="BA352" i="1"/>
  <c r="AZ352" i="1"/>
  <c r="AY352" i="1"/>
  <c r="AQ352" i="1"/>
  <c r="AP352" i="1"/>
  <c r="AR352" i="1" s="1"/>
  <c r="S352" i="1"/>
  <c r="Q352" i="1"/>
  <c r="R352" i="1" s="1"/>
  <c r="P352" i="1"/>
  <c r="J352" i="1"/>
  <c r="BM351" i="1"/>
  <c r="AZ351" i="1"/>
  <c r="AY351" i="1"/>
  <c r="BA351" i="1" s="1"/>
  <c r="AU351" i="1"/>
  <c r="AQ351" i="1"/>
  <c r="AR351" i="1" s="1"/>
  <c r="AP351" i="1"/>
  <c r="Q351" i="1"/>
  <c r="P351" i="1"/>
  <c r="J351" i="1"/>
  <c r="R351" i="1" s="1"/>
  <c r="S351" i="1" s="1"/>
  <c r="BM350" i="1"/>
  <c r="BA350" i="1"/>
  <c r="BC350" i="1" s="1"/>
  <c r="AZ350" i="1"/>
  <c r="AY350" i="1"/>
  <c r="AU350" i="1"/>
  <c r="AS350" i="1"/>
  <c r="AQ350" i="1"/>
  <c r="AP350" i="1"/>
  <c r="AR350" i="1" s="1"/>
  <c r="Q350" i="1"/>
  <c r="P350" i="1"/>
  <c r="J350" i="1"/>
  <c r="BM349" i="1"/>
  <c r="AZ349" i="1"/>
  <c r="AY349" i="1"/>
  <c r="BA349" i="1" s="1"/>
  <c r="AQ349" i="1"/>
  <c r="AR349" i="1" s="1"/>
  <c r="AP349" i="1"/>
  <c r="R349" i="1"/>
  <c r="S349" i="1" s="1"/>
  <c r="Q349" i="1"/>
  <c r="P349" i="1"/>
  <c r="J349" i="1"/>
  <c r="BD349" i="1" s="1"/>
  <c r="BM348" i="1"/>
  <c r="BI348" i="1"/>
  <c r="AZ348" i="1"/>
  <c r="BA348" i="1" s="1"/>
  <c r="AY348" i="1"/>
  <c r="AW348" i="1"/>
  <c r="AQ348" i="1"/>
  <c r="AR348" i="1" s="1"/>
  <c r="AP348" i="1"/>
  <c r="Q348" i="1"/>
  <c r="P348" i="1"/>
  <c r="J348" i="1"/>
  <c r="BM347" i="1"/>
  <c r="BD347" i="1"/>
  <c r="AZ347" i="1"/>
  <c r="AY347" i="1"/>
  <c r="BA347" i="1" s="1"/>
  <c r="AW347" i="1"/>
  <c r="AQ347" i="1"/>
  <c r="AR347" i="1" s="1"/>
  <c r="AP347" i="1"/>
  <c r="R347" i="1"/>
  <c r="S347" i="1" s="1"/>
  <c r="Q347" i="1"/>
  <c r="P347" i="1"/>
  <c r="J347" i="1"/>
  <c r="BM346" i="1"/>
  <c r="BD346" i="1"/>
  <c r="AZ346" i="1"/>
  <c r="BA346" i="1" s="1"/>
  <c r="AY346" i="1"/>
  <c r="AU346" i="1"/>
  <c r="AS346" i="1"/>
  <c r="AQ346" i="1"/>
  <c r="AP346" i="1"/>
  <c r="AR346" i="1" s="1"/>
  <c r="Q346" i="1"/>
  <c r="P346" i="1"/>
  <c r="J346" i="1"/>
  <c r="R346" i="1" s="1"/>
  <c r="S346" i="1" s="1"/>
  <c r="BM345" i="1"/>
  <c r="BD345" i="1"/>
  <c r="BC345" i="1"/>
  <c r="BB345" i="1"/>
  <c r="BA345" i="1"/>
  <c r="BF345" i="1" s="1"/>
  <c r="AZ345" i="1"/>
  <c r="AY345" i="1"/>
  <c r="AQ345" i="1"/>
  <c r="AP345" i="1"/>
  <c r="Q345" i="1"/>
  <c r="P345" i="1"/>
  <c r="J345" i="1"/>
  <c r="R345" i="1" s="1"/>
  <c r="S345" i="1" s="1"/>
  <c r="BM344" i="1"/>
  <c r="AZ344" i="1"/>
  <c r="AY344" i="1"/>
  <c r="BA344" i="1" s="1"/>
  <c r="AR344" i="1"/>
  <c r="AQ344" i="1"/>
  <c r="AP344" i="1"/>
  <c r="S344" i="1"/>
  <c r="R344" i="1"/>
  <c r="Q344" i="1"/>
  <c r="P344" i="1"/>
  <c r="J344" i="1"/>
  <c r="BM343" i="1"/>
  <c r="AZ343" i="1"/>
  <c r="AY343" i="1"/>
  <c r="BA343" i="1" s="1"/>
  <c r="AQ343" i="1"/>
  <c r="AP343" i="1"/>
  <c r="Q343" i="1"/>
  <c r="P343" i="1"/>
  <c r="L343" i="1"/>
  <c r="J343" i="1"/>
  <c r="BM342" i="1"/>
  <c r="BD342" i="1"/>
  <c r="AZ342" i="1"/>
  <c r="BA342" i="1" s="1"/>
  <c r="AY342" i="1"/>
  <c r="AU342" i="1"/>
  <c r="AR342" i="1"/>
  <c r="AQ342" i="1"/>
  <c r="AP342" i="1"/>
  <c r="R342" i="1"/>
  <c r="Q342" i="1"/>
  <c r="P342" i="1"/>
  <c r="J342" i="1"/>
  <c r="BM341" i="1"/>
  <c r="BC341" i="1"/>
  <c r="AZ341" i="1"/>
  <c r="AY341" i="1"/>
  <c r="BA341" i="1" s="1"/>
  <c r="AT341" i="1"/>
  <c r="AS341" i="1"/>
  <c r="AQ341" i="1"/>
  <c r="AR341" i="1" s="1"/>
  <c r="AP341" i="1"/>
  <c r="Q341" i="1"/>
  <c r="R341" i="1" s="1"/>
  <c r="S341" i="1" s="1"/>
  <c r="P341" i="1"/>
  <c r="J341" i="1"/>
  <c r="BM340" i="1"/>
  <c r="AZ340" i="1"/>
  <c r="AY340" i="1"/>
  <c r="BA340" i="1" s="1"/>
  <c r="AQ340" i="1"/>
  <c r="AR340" i="1" s="1"/>
  <c r="AP340" i="1"/>
  <c r="Q340" i="1"/>
  <c r="P340" i="1"/>
  <c r="J340" i="1"/>
  <c r="R340" i="1" s="1"/>
  <c r="S340" i="1" s="1"/>
  <c r="BM339" i="1"/>
  <c r="BD339" i="1"/>
  <c r="BA339" i="1"/>
  <c r="AZ339" i="1"/>
  <c r="AY339" i="1"/>
  <c r="AQ339" i="1"/>
  <c r="AP339" i="1"/>
  <c r="AR339" i="1" s="1"/>
  <c r="S339" i="1"/>
  <c r="Q339" i="1"/>
  <c r="R339" i="1" s="1"/>
  <c r="P339" i="1"/>
  <c r="J339" i="1"/>
  <c r="BM338" i="1"/>
  <c r="AZ338" i="1"/>
  <c r="BA338" i="1" s="1"/>
  <c r="AY338" i="1"/>
  <c r="AU338" i="1"/>
  <c r="AQ338" i="1"/>
  <c r="AR338" i="1" s="1"/>
  <c r="AP338" i="1"/>
  <c r="R338" i="1"/>
  <c r="S338" i="1" s="1"/>
  <c r="Q338" i="1"/>
  <c r="P338" i="1"/>
  <c r="J338" i="1"/>
  <c r="BM337" i="1"/>
  <c r="BA337" i="1"/>
  <c r="AZ337" i="1"/>
  <c r="AY337" i="1"/>
  <c r="AR337" i="1"/>
  <c r="AQ337" i="1"/>
  <c r="AP337" i="1"/>
  <c r="Q337" i="1"/>
  <c r="P337" i="1"/>
  <c r="J337" i="1"/>
  <c r="R337" i="1" s="1"/>
  <c r="S337" i="1" s="1"/>
  <c r="BM336" i="1"/>
  <c r="BA336" i="1"/>
  <c r="AZ336" i="1"/>
  <c r="AY336" i="1"/>
  <c r="AT336" i="1"/>
  <c r="AR336" i="1"/>
  <c r="AQ336" i="1"/>
  <c r="AP336" i="1"/>
  <c r="R336" i="1"/>
  <c r="S336" i="1" s="1"/>
  <c r="Q336" i="1"/>
  <c r="P336" i="1"/>
  <c r="J336" i="1"/>
  <c r="BM335" i="1"/>
  <c r="AZ335" i="1"/>
  <c r="AY335" i="1"/>
  <c r="AW335" i="1"/>
  <c r="AT335" i="1"/>
  <c r="AS335" i="1"/>
  <c r="AQ335" i="1"/>
  <c r="AP335" i="1"/>
  <c r="AR335" i="1" s="1"/>
  <c r="AU335" i="1" s="1"/>
  <c r="R335" i="1"/>
  <c r="S335" i="1" s="1"/>
  <c r="Q335" i="1"/>
  <c r="P335" i="1"/>
  <c r="J335" i="1"/>
  <c r="BM334" i="1"/>
  <c r="BA334" i="1"/>
  <c r="AZ334" i="1"/>
  <c r="AY334" i="1"/>
  <c r="AU334" i="1"/>
  <c r="AQ334" i="1"/>
  <c r="AP334" i="1"/>
  <c r="AR334" i="1" s="1"/>
  <c r="R334" i="1"/>
  <c r="S334" i="1" s="1"/>
  <c r="Q334" i="1"/>
  <c r="P334" i="1"/>
  <c r="J334" i="1"/>
  <c r="BM333" i="1"/>
  <c r="AZ333" i="1"/>
  <c r="AY333" i="1"/>
  <c r="BA333" i="1" s="1"/>
  <c r="BC333" i="1" s="1"/>
  <c r="AQ333" i="1"/>
  <c r="AP333" i="1"/>
  <c r="P333" i="1"/>
  <c r="N333" i="1"/>
  <c r="N401" i="1" s="1"/>
  <c r="M333" i="1"/>
  <c r="J333" i="1"/>
  <c r="BM332" i="1"/>
  <c r="BC332" i="1"/>
  <c r="AZ332" i="1"/>
  <c r="AY332" i="1"/>
  <c r="BA332" i="1" s="1"/>
  <c r="BD332" i="1" s="1"/>
  <c r="AR332" i="1"/>
  <c r="AQ332" i="1"/>
  <c r="AP332" i="1"/>
  <c r="Q332" i="1"/>
  <c r="P332" i="1"/>
  <c r="J332" i="1"/>
  <c r="R332" i="1" s="1"/>
  <c r="S332" i="1" s="1"/>
  <c r="BM331" i="1"/>
  <c r="BD331" i="1"/>
  <c r="AZ331" i="1"/>
  <c r="AY331" i="1"/>
  <c r="BA331" i="1" s="1"/>
  <c r="AQ331" i="1"/>
  <c r="AP331" i="1"/>
  <c r="AL331" i="1"/>
  <c r="AJ331" i="1"/>
  <c r="Q331" i="1"/>
  <c r="P331" i="1"/>
  <c r="J331" i="1"/>
  <c r="R331" i="1" s="1"/>
  <c r="S331" i="1" s="1"/>
  <c r="BM330" i="1"/>
  <c r="BD330" i="1"/>
  <c r="BA330" i="1"/>
  <c r="AZ330" i="1"/>
  <c r="AY330" i="1"/>
  <c r="AR330" i="1"/>
  <c r="AQ330" i="1"/>
  <c r="AP330" i="1"/>
  <c r="AI330" i="1"/>
  <c r="AH330" i="1"/>
  <c r="AE330" i="1"/>
  <c r="AJ330" i="1" s="1"/>
  <c r="AK330" i="1" s="1"/>
  <c r="AL330" i="1" s="1"/>
  <c r="AA330" i="1"/>
  <c r="Z330" i="1"/>
  <c r="V330" i="1"/>
  <c r="Q330" i="1"/>
  <c r="R330" i="1" s="1"/>
  <c r="S330" i="1" s="1"/>
  <c r="P330" i="1"/>
  <c r="J330" i="1"/>
  <c r="BM329" i="1"/>
  <c r="BA329" i="1"/>
  <c r="AZ329" i="1"/>
  <c r="AY329" i="1"/>
  <c r="AQ329" i="1"/>
  <c r="AR329" i="1" s="1"/>
  <c r="AP329" i="1"/>
  <c r="Q329" i="1"/>
  <c r="P329" i="1"/>
  <c r="J329" i="1"/>
  <c r="R329" i="1" s="1"/>
  <c r="S329" i="1" s="1"/>
  <c r="BM328" i="1"/>
  <c r="BA328" i="1"/>
  <c r="AZ328" i="1"/>
  <c r="AY328" i="1"/>
  <c r="AQ328" i="1"/>
  <c r="AP328" i="1"/>
  <c r="AR328" i="1" s="1"/>
  <c r="AE328" i="1"/>
  <c r="AJ328" i="1" s="1"/>
  <c r="AK328" i="1" s="1"/>
  <c r="AL328" i="1" s="1"/>
  <c r="Z328" i="1"/>
  <c r="AB328" i="1" s="1"/>
  <c r="Q328" i="1"/>
  <c r="P328" i="1"/>
  <c r="J328" i="1"/>
  <c r="R328" i="1" s="1"/>
  <c r="S328" i="1" s="1"/>
  <c r="BM327" i="1"/>
  <c r="BD327" i="1"/>
  <c r="BA327" i="1"/>
  <c r="AZ327" i="1"/>
  <c r="AY327" i="1"/>
  <c r="AQ327" i="1"/>
  <c r="AP327" i="1"/>
  <c r="AR327" i="1" s="1"/>
  <c r="Q327" i="1"/>
  <c r="R327" i="1" s="1"/>
  <c r="S327" i="1" s="1"/>
  <c r="P327" i="1"/>
  <c r="J327" i="1"/>
  <c r="BM326" i="1"/>
  <c r="BF326" i="1"/>
  <c r="BB326" i="1"/>
  <c r="BA326" i="1"/>
  <c r="AZ326" i="1"/>
  <c r="AY326" i="1"/>
  <c r="AQ326" i="1"/>
  <c r="AP326" i="1"/>
  <c r="AI326" i="1"/>
  <c r="AH326" i="1"/>
  <c r="AC326" i="1"/>
  <c r="AE326" i="1" s="1"/>
  <c r="AJ326" i="1" s="1"/>
  <c r="AK326" i="1" s="1"/>
  <c r="AB326" i="1"/>
  <c r="Z326" i="1"/>
  <c r="Q326" i="1"/>
  <c r="P326" i="1"/>
  <c r="J326" i="1"/>
  <c r="E326" i="1"/>
  <c r="BM325" i="1"/>
  <c r="BD325" i="1"/>
  <c r="BC325" i="1"/>
  <c r="AZ325" i="1"/>
  <c r="AY325" i="1"/>
  <c r="BA325" i="1" s="1"/>
  <c r="BF325" i="1" s="1"/>
  <c r="AQ325" i="1"/>
  <c r="AP325" i="1"/>
  <c r="AR325" i="1" s="1"/>
  <c r="AL325" i="1"/>
  <c r="AJ325" i="1"/>
  <c r="AE325" i="1"/>
  <c r="Z325" i="1"/>
  <c r="AB325" i="1" s="1"/>
  <c r="Q325" i="1"/>
  <c r="P325" i="1"/>
  <c r="N325" i="1"/>
  <c r="M325" i="1"/>
  <c r="M401" i="1" s="1"/>
  <c r="J325" i="1"/>
  <c r="BM324" i="1"/>
  <c r="BA324" i="1"/>
  <c r="AZ324" i="1"/>
  <c r="AY324" i="1"/>
  <c r="AQ324" i="1"/>
  <c r="AP324" i="1"/>
  <c r="AR324" i="1" s="1"/>
  <c r="AL324" i="1"/>
  <c r="AJ324" i="1"/>
  <c r="AB324" i="1"/>
  <c r="Q324" i="1"/>
  <c r="P324" i="1"/>
  <c r="N324" i="1"/>
  <c r="M324" i="1"/>
  <c r="M403" i="1" s="1"/>
  <c r="J324" i="1"/>
  <c r="R324" i="1" s="1"/>
  <c r="S324" i="1" s="1"/>
  <c r="BM323" i="1"/>
  <c r="AZ323" i="1"/>
  <c r="BA323" i="1" s="1"/>
  <c r="AY323" i="1"/>
  <c r="AR323" i="1"/>
  <c r="AQ323" i="1"/>
  <c r="AP323" i="1"/>
  <c r="Q323" i="1"/>
  <c r="R323" i="1" s="1"/>
  <c r="S323" i="1" s="1"/>
  <c r="P323" i="1"/>
  <c r="J323" i="1"/>
  <c r="BM322" i="1"/>
  <c r="AZ322" i="1"/>
  <c r="BA322" i="1" s="1"/>
  <c r="AY322" i="1"/>
  <c r="AQ322" i="1"/>
  <c r="AP322" i="1"/>
  <c r="AR322" i="1" s="1"/>
  <c r="AL322" i="1"/>
  <c r="AJ322" i="1"/>
  <c r="AB322" i="1"/>
  <c r="Q322" i="1"/>
  <c r="R322" i="1" s="1"/>
  <c r="S322" i="1" s="1"/>
  <c r="P322" i="1"/>
  <c r="J322" i="1"/>
  <c r="BM321" i="1"/>
  <c r="BC321" i="1"/>
  <c r="BB321" i="1"/>
  <c r="BA321" i="1"/>
  <c r="AZ321" i="1"/>
  <c r="AY321" i="1"/>
  <c r="AW321" i="1"/>
  <c r="AQ321" i="1"/>
  <c r="AR321" i="1" s="1"/>
  <c r="AP321" i="1"/>
  <c r="Q321" i="1"/>
  <c r="P321" i="1"/>
  <c r="J321" i="1"/>
  <c r="R321" i="1" s="1"/>
  <c r="S321" i="1" s="1"/>
  <c r="BM320" i="1"/>
  <c r="BF320" i="1"/>
  <c r="BD320" i="1"/>
  <c r="BB320" i="1"/>
  <c r="AZ320" i="1"/>
  <c r="AY320" i="1"/>
  <c r="BA320" i="1" s="1"/>
  <c r="BC320" i="1" s="1"/>
  <c r="AQ320" i="1"/>
  <c r="AP320" i="1"/>
  <c r="AR320" i="1" s="1"/>
  <c r="AL320" i="1"/>
  <c r="AJ320" i="1"/>
  <c r="AB320" i="1"/>
  <c r="S320" i="1"/>
  <c r="Q320" i="1"/>
  <c r="P320" i="1"/>
  <c r="J320" i="1"/>
  <c r="R320" i="1" s="1"/>
  <c r="BM319" i="1"/>
  <c r="BA319" i="1"/>
  <c r="AZ319" i="1"/>
  <c r="AY319" i="1"/>
  <c r="AQ319" i="1"/>
  <c r="AP319" i="1"/>
  <c r="AR319" i="1" s="1"/>
  <c r="AL319" i="1"/>
  <c r="AJ319" i="1"/>
  <c r="AB319" i="1"/>
  <c r="BM318" i="1"/>
  <c r="BA318" i="1"/>
  <c r="AZ318" i="1"/>
  <c r="AY318" i="1"/>
  <c r="AU318" i="1"/>
  <c r="AT318" i="1"/>
  <c r="AS318" i="1"/>
  <c r="AQ318" i="1"/>
  <c r="AP318" i="1"/>
  <c r="AR318" i="1" s="1"/>
  <c r="AK318" i="1"/>
  <c r="AE318" i="1"/>
  <c r="AJ318" i="1" s="1"/>
  <c r="Z318" i="1"/>
  <c r="Q318" i="1"/>
  <c r="R318" i="1" s="1"/>
  <c r="S318" i="1" s="1"/>
  <c r="P318" i="1"/>
  <c r="J318" i="1"/>
  <c r="BM317" i="1"/>
  <c r="BC317" i="1"/>
  <c r="AZ317" i="1"/>
  <c r="AY317" i="1"/>
  <c r="BA317" i="1" s="1"/>
  <c r="AQ317" i="1"/>
  <c r="AP317" i="1"/>
  <c r="AR317" i="1" s="1"/>
  <c r="Q317" i="1"/>
  <c r="R317" i="1" s="1"/>
  <c r="S317" i="1" s="1"/>
  <c r="P317" i="1"/>
  <c r="J317" i="1"/>
  <c r="BM316" i="1"/>
  <c r="BI316" i="1"/>
  <c r="BA316" i="1"/>
  <c r="AZ316" i="1"/>
  <c r="AY316" i="1"/>
  <c r="AR316" i="1"/>
  <c r="AQ316" i="1"/>
  <c r="AP316" i="1"/>
  <c r="AN316" i="1"/>
  <c r="Q316" i="1"/>
  <c r="P316" i="1"/>
  <c r="J316" i="1"/>
  <c r="R316" i="1" s="1"/>
  <c r="S316" i="1" s="1"/>
  <c r="BM315" i="1"/>
  <c r="BF315" i="1"/>
  <c r="BD315" i="1"/>
  <c r="BC315" i="1"/>
  <c r="BB315" i="1"/>
  <c r="AZ315" i="1"/>
  <c r="AY315" i="1"/>
  <c r="BA315" i="1" s="1"/>
  <c r="AR315" i="1"/>
  <c r="AQ315" i="1"/>
  <c r="AP315" i="1"/>
  <c r="Q315" i="1"/>
  <c r="R315" i="1" s="1"/>
  <c r="P315" i="1"/>
  <c r="J315" i="1"/>
  <c r="BM314" i="1"/>
  <c r="BI314" i="1"/>
  <c r="BK314" i="1" s="1"/>
  <c r="AZ314" i="1"/>
  <c r="BA314" i="1" s="1"/>
  <c r="AY314" i="1"/>
  <c r="AW314" i="1"/>
  <c r="AR314" i="1"/>
  <c r="AU314" i="1" s="1"/>
  <c r="AQ314" i="1"/>
  <c r="AP314" i="1"/>
  <c r="AL314" i="1"/>
  <c r="AJ314" i="1"/>
  <c r="AB314" i="1"/>
  <c r="R314" i="1"/>
  <c r="S314" i="1" s="1"/>
  <c r="Q314" i="1"/>
  <c r="P314" i="1"/>
  <c r="J314" i="1"/>
  <c r="BM313" i="1"/>
  <c r="AZ313" i="1"/>
  <c r="AY313" i="1"/>
  <c r="BA313" i="1" s="1"/>
  <c r="AT313" i="1"/>
  <c r="AS313" i="1"/>
  <c r="AR313" i="1"/>
  <c r="AU313" i="1" s="1"/>
  <c r="AQ313" i="1"/>
  <c r="AP313" i="1"/>
  <c r="R313" i="1"/>
  <c r="S313" i="1" s="1"/>
  <c r="Q313" i="1"/>
  <c r="P313" i="1"/>
  <c r="J313" i="1"/>
  <c r="BM312" i="1"/>
  <c r="AZ312" i="1"/>
  <c r="BA312" i="1" s="1"/>
  <c r="AY312" i="1"/>
  <c r="AS312" i="1"/>
  <c r="AR312" i="1"/>
  <c r="AT312" i="1" s="1"/>
  <c r="AQ312" i="1"/>
  <c r="AP312" i="1"/>
  <c r="AI312" i="1"/>
  <c r="AH312" i="1"/>
  <c r="AE312" i="1"/>
  <c r="AJ312" i="1" s="1"/>
  <c r="AK312" i="1" s="1"/>
  <c r="Z312" i="1"/>
  <c r="Q312" i="1"/>
  <c r="P312" i="1"/>
  <c r="J312" i="1"/>
  <c r="BM311" i="1"/>
  <c r="BB311" i="1"/>
  <c r="BA311" i="1"/>
  <c r="AZ311" i="1"/>
  <c r="AY311" i="1"/>
  <c r="AU311" i="1"/>
  <c r="AT311" i="1"/>
  <c r="AQ311" i="1"/>
  <c r="AP311" i="1"/>
  <c r="AR311" i="1" s="1"/>
  <c r="Q311" i="1"/>
  <c r="P311" i="1"/>
  <c r="J311" i="1"/>
  <c r="BM310" i="1"/>
  <c r="AZ310" i="1"/>
  <c r="AY310" i="1"/>
  <c r="AQ310" i="1"/>
  <c r="AP310" i="1"/>
  <c r="AR310" i="1" s="1"/>
  <c r="AS310" i="1" s="1"/>
  <c r="AK310" i="1"/>
  <c r="AL310" i="1" s="1"/>
  <c r="AE310" i="1"/>
  <c r="AJ310" i="1" s="1"/>
  <c r="Z310" i="1"/>
  <c r="AB310" i="1" s="1"/>
  <c r="Q310" i="1"/>
  <c r="P310" i="1"/>
  <c r="J310" i="1"/>
  <c r="BM309" i="1"/>
  <c r="AZ309" i="1"/>
  <c r="BA309" i="1" s="1"/>
  <c r="AY309" i="1"/>
  <c r="AQ309" i="1"/>
  <c r="AP309" i="1"/>
  <c r="AR309" i="1" s="1"/>
  <c r="AL309" i="1"/>
  <c r="AK309" i="1"/>
  <c r="AJ309" i="1"/>
  <c r="AH309" i="1"/>
  <c r="AB309" i="1"/>
  <c r="Z309" i="1"/>
  <c r="R309" i="1"/>
  <c r="S309" i="1" s="1"/>
  <c r="Q309" i="1"/>
  <c r="P309" i="1"/>
  <c r="J309" i="1"/>
  <c r="BM308" i="1"/>
  <c r="BA308" i="1"/>
  <c r="AZ308" i="1"/>
  <c r="AY308" i="1"/>
  <c r="AQ308" i="1"/>
  <c r="AP308" i="1"/>
  <c r="AR308" i="1" s="1"/>
  <c r="AJ308" i="1"/>
  <c r="AK308" i="1" s="1"/>
  <c r="AL308" i="1" s="1"/>
  <c r="AI308" i="1"/>
  <c r="AH308" i="1"/>
  <c r="AE308" i="1"/>
  <c r="AB308" i="1"/>
  <c r="AA308" i="1"/>
  <c r="Z308" i="1"/>
  <c r="Q308" i="1"/>
  <c r="R308" i="1" s="1"/>
  <c r="S308" i="1" s="1"/>
  <c r="P308" i="1"/>
  <c r="J308" i="1"/>
  <c r="BM307" i="1"/>
  <c r="BD307" i="1"/>
  <c r="BB307" i="1"/>
  <c r="AZ307" i="1"/>
  <c r="AY307" i="1"/>
  <c r="BA307" i="1" s="1"/>
  <c r="BC307" i="1" s="1"/>
  <c r="AQ307" i="1"/>
  <c r="AP307" i="1"/>
  <c r="AI307" i="1"/>
  <c r="AH307" i="1"/>
  <c r="AJ307" i="1" s="1"/>
  <c r="AK307" i="1" s="1"/>
  <c r="AE307" i="1"/>
  <c r="Z307" i="1"/>
  <c r="R307" i="1"/>
  <c r="S307" i="1" s="1"/>
  <c r="Q307" i="1"/>
  <c r="P307" i="1"/>
  <c r="J307" i="1"/>
  <c r="BM306" i="1"/>
  <c r="BA306" i="1"/>
  <c r="AZ306" i="1"/>
  <c r="AY306" i="1"/>
  <c r="AR306" i="1"/>
  <c r="AQ306" i="1"/>
  <c r="AP306" i="1"/>
  <c r="Q306" i="1"/>
  <c r="P306" i="1"/>
  <c r="J306" i="1"/>
  <c r="R306" i="1" s="1"/>
  <c r="S306" i="1" s="1"/>
  <c r="BM305" i="1"/>
  <c r="BK305" i="1"/>
  <c r="BF305" i="1"/>
  <c r="BA305" i="1"/>
  <c r="AZ305" i="1"/>
  <c r="AY305" i="1"/>
  <c r="AW305" i="1"/>
  <c r="AU305" i="1"/>
  <c r="AT305" i="1"/>
  <c r="AS305" i="1"/>
  <c r="AQ305" i="1"/>
  <c r="AP305" i="1"/>
  <c r="AR305" i="1" s="1"/>
  <c r="BI305" i="1" s="1"/>
  <c r="AL305" i="1"/>
  <c r="AJ305" i="1"/>
  <c r="AB305" i="1"/>
  <c r="S305" i="1"/>
  <c r="R305" i="1"/>
  <c r="Q305" i="1"/>
  <c r="P305" i="1"/>
  <c r="J305" i="1"/>
  <c r="BM304" i="1"/>
  <c r="BC304" i="1"/>
  <c r="BB304" i="1"/>
  <c r="BA304" i="1"/>
  <c r="AZ304" i="1"/>
  <c r="AY304" i="1"/>
  <c r="AR304" i="1"/>
  <c r="AQ304" i="1"/>
  <c r="AP304" i="1"/>
  <c r="Q304" i="1"/>
  <c r="P304" i="1"/>
  <c r="J304" i="1"/>
  <c r="BM303" i="1"/>
  <c r="BI303" i="1"/>
  <c r="BK303" i="1" s="1"/>
  <c r="BD303" i="1"/>
  <c r="BC303" i="1"/>
  <c r="BA303" i="1"/>
  <c r="BF303" i="1" s="1"/>
  <c r="AZ303" i="1"/>
  <c r="AY303" i="1"/>
  <c r="AW303" i="1"/>
  <c r="AT303" i="1"/>
  <c r="AR303" i="1"/>
  <c r="AU303" i="1" s="1"/>
  <c r="AQ303" i="1"/>
  <c r="AP303" i="1"/>
  <c r="AL303" i="1"/>
  <c r="AJ303" i="1"/>
  <c r="AB303" i="1"/>
  <c r="R303" i="1"/>
  <c r="S303" i="1" s="1"/>
  <c r="Q303" i="1"/>
  <c r="P303" i="1"/>
  <c r="J303" i="1"/>
  <c r="BM302" i="1"/>
  <c r="AZ302" i="1"/>
  <c r="BA302" i="1" s="1"/>
  <c r="AY302" i="1"/>
  <c r="AU302" i="1"/>
  <c r="AS302" i="1"/>
  <c r="AQ302" i="1"/>
  <c r="AP302" i="1"/>
  <c r="AR302" i="1" s="1"/>
  <c r="AL302" i="1"/>
  <c r="AI302" i="1"/>
  <c r="AH302" i="1"/>
  <c r="AJ302" i="1" s="1"/>
  <c r="AK302" i="1" s="1"/>
  <c r="AB302" i="1"/>
  <c r="Z302" i="1"/>
  <c r="Q302" i="1"/>
  <c r="R302" i="1" s="1"/>
  <c r="S302" i="1" s="1"/>
  <c r="P302" i="1"/>
  <c r="J302" i="1"/>
  <c r="BM301" i="1"/>
  <c r="BK301" i="1"/>
  <c r="BI301" i="1"/>
  <c r="BD301" i="1"/>
  <c r="BC301" i="1"/>
  <c r="BA301" i="1"/>
  <c r="AZ301" i="1"/>
  <c r="AY301" i="1"/>
  <c r="AU301" i="1"/>
  <c r="AT301" i="1"/>
  <c r="AS301" i="1"/>
  <c r="AQ301" i="1"/>
  <c r="AR301" i="1" s="1"/>
  <c r="AW301" i="1" s="1"/>
  <c r="AP301" i="1"/>
  <c r="AL301" i="1"/>
  <c r="AJ301" i="1"/>
  <c r="R301" i="1"/>
  <c r="S301" i="1" s="1"/>
  <c r="Q301" i="1"/>
  <c r="P301" i="1"/>
  <c r="J301" i="1"/>
  <c r="BM300" i="1"/>
  <c r="AZ300" i="1"/>
  <c r="AY300" i="1"/>
  <c r="AQ300" i="1"/>
  <c r="AP300" i="1"/>
  <c r="AR300" i="1" s="1"/>
  <c r="R300" i="1"/>
  <c r="S300" i="1" s="1"/>
  <c r="Q300" i="1"/>
  <c r="P300" i="1"/>
  <c r="J300" i="1"/>
  <c r="BM299" i="1"/>
  <c r="BI299" i="1"/>
  <c r="BC299" i="1"/>
  <c r="BA299" i="1"/>
  <c r="AZ299" i="1"/>
  <c r="AY299" i="1"/>
  <c r="AT299" i="1"/>
  <c r="AS299" i="1"/>
  <c r="AR299" i="1"/>
  <c r="AQ299" i="1"/>
  <c r="AP299" i="1"/>
  <c r="AL299" i="1"/>
  <c r="AJ299" i="1"/>
  <c r="AK299" i="1" s="1"/>
  <c r="AI299" i="1"/>
  <c r="AH299" i="1"/>
  <c r="AE299" i="1"/>
  <c r="Z299" i="1"/>
  <c r="AB299" i="1" s="1"/>
  <c r="Q299" i="1"/>
  <c r="P299" i="1"/>
  <c r="J299" i="1"/>
  <c r="BM298" i="1"/>
  <c r="BC298" i="1"/>
  <c r="AZ298" i="1"/>
  <c r="AY298" i="1"/>
  <c r="BA298" i="1" s="1"/>
  <c r="AW298" i="1"/>
  <c r="AU298" i="1"/>
  <c r="AR298" i="1"/>
  <c r="AQ298" i="1"/>
  <c r="AP298" i="1"/>
  <c r="Q298" i="1"/>
  <c r="P298" i="1"/>
  <c r="J298" i="1"/>
  <c r="BD298" i="1" s="1"/>
  <c r="BM297" i="1"/>
  <c r="BA297" i="1"/>
  <c r="AZ297" i="1"/>
  <c r="AY297" i="1"/>
  <c r="AR297" i="1"/>
  <c r="AQ297" i="1"/>
  <c r="AP297" i="1"/>
  <c r="AJ297" i="1"/>
  <c r="AK297" i="1" s="1"/>
  <c r="AI297" i="1"/>
  <c r="AH297" i="1"/>
  <c r="AE297" i="1"/>
  <c r="Z297" i="1"/>
  <c r="AB297" i="1" s="1"/>
  <c r="AN297" i="1" s="1"/>
  <c r="R297" i="1"/>
  <c r="S297" i="1" s="1"/>
  <c r="Q297" i="1"/>
  <c r="P297" i="1"/>
  <c r="J297" i="1"/>
  <c r="BM296" i="1"/>
  <c r="BA296" i="1"/>
  <c r="AZ296" i="1"/>
  <c r="AY296" i="1"/>
  <c r="AQ296" i="1"/>
  <c r="AP296" i="1"/>
  <c r="R296" i="1"/>
  <c r="S296" i="1" s="1"/>
  <c r="Q296" i="1"/>
  <c r="P296" i="1"/>
  <c r="J296" i="1"/>
  <c r="BM295" i="1"/>
  <c r="BI295" i="1"/>
  <c r="BC295" i="1"/>
  <c r="AZ295" i="1"/>
  <c r="BA295" i="1" s="1"/>
  <c r="AY295" i="1"/>
  <c r="AQ295" i="1"/>
  <c r="AR295" i="1" s="1"/>
  <c r="AP295" i="1"/>
  <c r="AI295" i="1"/>
  <c r="AH295" i="1"/>
  <c r="AJ295" i="1" s="1"/>
  <c r="AK295" i="1" s="1"/>
  <c r="AL295" i="1" s="1"/>
  <c r="AE295" i="1"/>
  <c r="AB295" i="1"/>
  <c r="AN295" i="1" s="1"/>
  <c r="Z295" i="1"/>
  <c r="Q295" i="1"/>
  <c r="R295" i="1" s="1"/>
  <c r="S295" i="1" s="1"/>
  <c r="P295" i="1"/>
  <c r="J295" i="1"/>
  <c r="BM294" i="1"/>
  <c r="BF294" i="1"/>
  <c r="BC294" i="1"/>
  <c r="AZ294" i="1"/>
  <c r="AY294" i="1"/>
  <c r="BA294" i="1" s="1"/>
  <c r="BB294" i="1" s="1"/>
  <c r="AQ294" i="1"/>
  <c r="AP294" i="1"/>
  <c r="AN294" i="1"/>
  <c r="AL294" i="1"/>
  <c r="AJ294" i="1"/>
  <c r="AK294" i="1" s="1"/>
  <c r="AI294" i="1"/>
  <c r="AH294" i="1"/>
  <c r="AE294" i="1"/>
  <c r="AB294" i="1"/>
  <c r="Q294" i="1"/>
  <c r="R294" i="1" s="1"/>
  <c r="S294" i="1" s="1"/>
  <c r="P294" i="1"/>
  <c r="J294" i="1"/>
  <c r="BM293" i="1"/>
  <c r="AZ293" i="1"/>
  <c r="AY293" i="1"/>
  <c r="AT293" i="1"/>
  <c r="AQ293" i="1"/>
  <c r="AP293" i="1"/>
  <c r="AR293" i="1" s="1"/>
  <c r="AI293" i="1"/>
  <c r="AH293" i="1"/>
  <c r="AE293" i="1"/>
  <c r="AJ293" i="1" s="1"/>
  <c r="AK293" i="1" s="1"/>
  <c r="AL293" i="1" s="1"/>
  <c r="AB293" i="1"/>
  <c r="Q293" i="1"/>
  <c r="P293" i="1"/>
  <c r="J293" i="1"/>
  <c r="R293" i="1" s="1"/>
  <c r="S293" i="1" s="1"/>
  <c r="BM292" i="1"/>
  <c r="BB292" i="1"/>
  <c r="BA292" i="1"/>
  <c r="AZ292" i="1"/>
  <c r="AY292" i="1"/>
  <c r="AS292" i="1"/>
  <c r="AQ292" i="1"/>
  <c r="AP292" i="1"/>
  <c r="AR292" i="1" s="1"/>
  <c r="AJ292" i="1"/>
  <c r="AK292" i="1" s="1"/>
  <c r="AL292" i="1" s="1"/>
  <c r="AI292" i="1"/>
  <c r="AH292" i="1"/>
  <c r="AE292" i="1"/>
  <c r="Z292" i="1"/>
  <c r="Q292" i="1"/>
  <c r="P292" i="1"/>
  <c r="J292" i="1"/>
  <c r="BD292" i="1" s="1"/>
  <c r="BM291" i="1"/>
  <c r="BI291" i="1"/>
  <c r="AZ291" i="1"/>
  <c r="AY291" i="1"/>
  <c r="BA291" i="1" s="1"/>
  <c r="AU291" i="1"/>
  <c r="AR291" i="1"/>
  <c r="AS291" i="1" s="1"/>
  <c r="AQ291" i="1"/>
  <c r="AP291" i="1"/>
  <c r="AK291" i="1"/>
  <c r="AE291" i="1"/>
  <c r="AJ291" i="1" s="1"/>
  <c r="Z291" i="1"/>
  <c r="S291" i="1"/>
  <c r="R291" i="1"/>
  <c r="Q291" i="1"/>
  <c r="P291" i="1"/>
  <c r="J291" i="1"/>
  <c r="BM290" i="1"/>
  <c r="AZ290" i="1"/>
  <c r="AY290" i="1"/>
  <c r="BA290" i="1" s="1"/>
  <c r="AQ290" i="1"/>
  <c r="AP290" i="1"/>
  <c r="AR290" i="1" s="1"/>
  <c r="R290" i="1"/>
  <c r="S290" i="1" s="1"/>
  <c r="Q290" i="1"/>
  <c r="P290" i="1"/>
  <c r="J290" i="1"/>
  <c r="BM289" i="1"/>
  <c r="AZ289" i="1"/>
  <c r="AY289" i="1"/>
  <c r="BA289" i="1" s="1"/>
  <c r="BD289" i="1" s="1"/>
  <c r="AT289" i="1"/>
  <c r="AQ289" i="1"/>
  <c r="AP289" i="1"/>
  <c r="AR289" i="1" s="1"/>
  <c r="AI289" i="1"/>
  <c r="AH289" i="1"/>
  <c r="AJ289" i="1" s="1"/>
  <c r="AK289" i="1" s="1"/>
  <c r="AL289" i="1" s="1"/>
  <c r="AE289" i="1"/>
  <c r="AB289" i="1"/>
  <c r="Z289" i="1"/>
  <c r="AN289" i="1" s="1"/>
  <c r="Q289" i="1"/>
  <c r="P289" i="1"/>
  <c r="J289" i="1"/>
  <c r="BM288" i="1"/>
  <c r="BH288" i="1"/>
  <c r="BD288" i="1"/>
  <c r="BC288" i="1"/>
  <c r="AZ288" i="1"/>
  <c r="AY288" i="1"/>
  <c r="BA288" i="1" s="1"/>
  <c r="AU288" i="1"/>
  <c r="AT288" i="1"/>
  <c r="AS288" i="1"/>
  <c r="AQ288" i="1"/>
  <c r="AP288" i="1"/>
  <c r="AR288" i="1" s="1"/>
  <c r="AW288" i="1" s="1"/>
  <c r="S288" i="1"/>
  <c r="Q288" i="1"/>
  <c r="R288" i="1" s="1"/>
  <c r="P288" i="1"/>
  <c r="J288" i="1"/>
  <c r="BM287" i="1"/>
  <c r="BD287" i="1"/>
  <c r="BA287" i="1"/>
  <c r="BF287" i="1" s="1"/>
  <c r="AZ287" i="1"/>
  <c r="AY287" i="1"/>
  <c r="AQ287" i="1"/>
  <c r="AR287" i="1" s="1"/>
  <c r="BI287" i="1" s="1"/>
  <c r="AP287" i="1"/>
  <c r="AN287" i="1"/>
  <c r="AJ287" i="1"/>
  <c r="AK287" i="1" s="1"/>
  <c r="AI287" i="1"/>
  <c r="AH287" i="1"/>
  <c r="AE287" i="1"/>
  <c r="Z287" i="1"/>
  <c r="AB287" i="1" s="1"/>
  <c r="S287" i="1"/>
  <c r="R287" i="1"/>
  <c r="Q287" i="1"/>
  <c r="P287" i="1"/>
  <c r="J287" i="1"/>
  <c r="BM286" i="1"/>
  <c r="BD286" i="1"/>
  <c r="BB286" i="1"/>
  <c r="BA286" i="1"/>
  <c r="BC286" i="1" s="1"/>
  <c r="AZ286" i="1"/>
  <c r="AY286" i="1"/>
  <c r="AS286" i="1"/>
  <c r="AQ286" i="1"/>
  <c r="AR286" i="1" s="1"/>
  <c r="AP286" i="1"/>
  <c r="AN286" i="1"/>
  <c r="AL286" i="1"/>
  <c r="AJ286" i="1"/>
  <c r="AK286" i="1" s="1"/>
  <c r="AE286" i="1"/>
  <c r="AB286" i="1"/>
  <c r="Z286" i="1"/>
  <c r="Q286" i="1"/>
  <c r="R286" i="1" s="1"/>
  <c r="S286" i="1" s="1"/>
  <c r="P286" i="1"/>
  <c r="J286" i="1"/>
  <c r="BM285" i="1"/>
  <c r="BI285" i="1"/>
  <c r="BA285" i="1"/>
  <c r="AZ285" i="1"/>
  <c r="AY285" i="1"/>
  <c r="AQ285" i="1"/>
  <c r="AP285" i="1"/>
  <c r="AR285" i="1" s="1"/>
  <c r="AJ285" i="1"/>
  <c r="AK285" i="1" s="1"/>
  <c r="AL285" i="1" s="1"/>
  <c r="AI285" i="1"/>
  <c r="AH285" i="1"/>
  <c r="AE285" i="1"/>
  <c r="AB285" i="1"/>
  <c r="Z285" i="1"/>
  <c r="Q285" i="1"/>
  <c r="P285" i="1"/>
  <c r="J285" i="1"/>
  <c r="R285" i="1" s="1"/>
  <c r="S285" i="1" s="1"/>
  <c r="BM284" i="1"/>
  <c r="BC284" i="1"/>
  <c r="BH284" i="1" s="1"/>
  <c r="BB284" i="1"/>
  <c r="AZ284" i="1"/>
  <c r="AY284" i="1"/>
  <c r="BA284" i="1" s="1"/>
  <c r="AW284" i="1"/>
  <c r="AR284" i="1"/>
  <c r="AT284" i="1" s="1"/>
  <c r="AQ284" i="1"/>
  <c r="AP284" i="1"/>
  <c r="Q284" i="1"/>
  <c r="R284" i="1" s="1"/>
  <c r="S284" i="1" s="1"/>
  <c r="P284" i="1"/>
  <c r="J284" i="1"/>
  <c r="BM283" i="1"/>
  <c r="AZ283" i="1"/>
  <c r="AY283" i="1"/>
  <c r="BA283" i="1" s="1"/>
  <c r="BI283" i="1" s="1"/>
  <c r="AW283" i="1"/>
  <c r="AT283" i="1"/>
  <c r="AS283" i="1"/>
  <c r="AQ283" i="1"/>
  <c r="AP283" i="1"/>
  <c r="AR283" i="1" s="1"/>
  <c r="AU283" i="1" s="1"/>
  <c r="AL283" i="1"/>
  <c r="AK283" i="1"/>
  <c r="AI283" i="1"/>
  <c r="AE283" i="1"/>
  <c r="AJ283" i="1" s="1"/>
  <c r="AB283" i="1"/>
  <c r="Z283" i="1"/>
  <c r="AN283" i="1" s="1"/>
  <c r="Q283" i="1"/>
  <c r="P283" i="1"/>
  <c r="J283" i="1"/>
  <c r="R283" i="1" s="1"/>
  <c r="S283" i="1" s="1"/>
  <c r="BM282" i="1"/>
  <c r="AZ282" i="1"/>
  <c r="BA282" i="1" s="1"/>
  <c r="BB282" i="1" s="1"/>
  <c r="AY282" i="1"/>
  <c r="AQ282" i="1"/>
  <c r="AP282" i="1"/>
  <c r="AI282" i="1"/>
  <c r="AH282" i="1"/>
  <c r="AJ282" i="1" s="1"/>
  <c r="AK282" i="1" s="1"/>
  <c r="AL282" i="1" s="1"/>
  <c r="AE282" i="1"/>
  <c r="Z282" i="1"/>
  <c r="AB282" i="1" s="1"/>
  <c r="X282" i="1"/>
  <c r="V282" i="1"/>
  <c r="Q282" i="1"/>
  <c r="P282" i="1"/>
  <c r="J282" i="1"/>
  <c r="BM281" i="1"/>
  <c r="BA281" i="1"/>
  <c r="AZ281" i="1"/>
  <c r="AY281" i="1"/>
  <c r="AQ281" i="1"/>
  <c r="AP281" i="1"/>
  <c r="AJ281" i="1"/>
  <c r="AK281" i="1" s="1"/>
  <c r="AL281" i="1" s="1"/>
  <c r="AI281" i="1"/>
  <c r="AH281" i="1"/>
  <c r="AE281" i="1"/>
  <c r="AB281" i="1"/>
  <c r="Z281" i="1"/>
  <c r="Q281" i="1"/>
  <c r="P281" i="1"/>
  <c r="J281" i="1"/>
  <c r="R281" i="1" s="1"/>
  <c r="S281" i="1" s="1"/>
  <c r="BM280" i="1"/>
  <c r="BI280" i="1"/>
  <c r="BC280" i="1"/>
  <c r="BA280" i="1"/>
  <c r="BF280" i="1" s="1"/>
  <c r="AZ280" i="1"/>
  <c r="AY280" i="1"/>
  <c r="AR280" i="1"/>
  <c r="AQ280" i="1"/>
  <c r="AP280" i="1"/>
  <c r="AK280" i="1"/>
  <c r="AJ280" i="1"/>
  <c r="AI280" i="1"/>
  <c r="AH280" i="1"/>
  <c r="AE280" i="1"/>
  <c r="AB280" i="1"/>
  <c r="Z280" i="1"/>
  <c r="AL280" i="1" s="1"/>
  <c r="R280" i="1"/>
  <c r="S280" i="1" s="1"/>
  <c r="Q280" i="1"/>
  <c r="P280" i="1"/>
  <c r="J280" i="1"/>
  <c r="BM279" i="1"/>
  <c r="AZ279" i="1"/>
  <c r="BA279" i="1" s="1"/>
  <c r="AY279" i="1"/>
  <c r="AT279" i="1"/>
  <c r="AQ279" i="1"/>
  <c r="AR279" i="1" s="1"/>
  <c r="AP279" i="1"/>
  <c r="AI279" i="1"/>
  <c r="AH279" i="1"/>
  <c r="AE279" i="1"/>
  <c r="AJ279" i="1" s="1"/>
  <c r="AK279" i="1" s="1"/>
  <c r="AB279" i="1"/>
  <c r="Z279" i="1"/>
  <c r="R279" i="1"/>
  <c r="S279" i="1" s="1"/>
  <c r="Q279" i="1"/>
  <c r="P279" i="1"/>
  <c r="J279" i="1"/>
  <c r="BM278" i="1"/>
  <c r="BA278" i="1"/>
  <c r="AZ278" i="1"/>
  <c r="AY278" i="1"/>
  <c r="AS278" i="1"/>
  <c r="AR278" i="1"/>
  <c r="AW278" i="1" s="1"/>
  <c r="AQ278" i="1"/>
  <c r="AP278" i="1"/>
  <c r="AI278" i="1"/>
  <c r="AH278" i="1"/>
  <c r="AE278" i="1"/>
  <c r="AJ278" i="1" s="1"/>
  <c r="AK278" i="1" s="1"/>
  <c r="AL278" i="1" s="1"/>
  <c r="AB278" i="1"/>
  <c r="Z278" i="1"/>
  <c r="Q278" i="1"/>
  <c r="P278" i="1"/>
  <c r="J278" i="1"/>
  <c r="R278" i="1" s="1"/>
  <c r="S278" i="1" s="1"/>
  <c r="BM277" i="1"/>
  <c r="AZ277" i="1"/>
  <c r="AY277" i="1"/>
  <c r="BA277" i="1" s="1"/>
  <c r="AT277" i="1"/>
  <c r="AQ277" i="1"/>
  <c r="AP277" i="1"/>
  <c r="AR277" i="1" s="1"/>
  <c r="AJ277" i="1"/>
  <c r="AK277" i="1" s="1"/>
  <c r="AI277" i="1"/>
  <c r="AH277" i="1"/>
  <c r="AE277" i="1"/>
  <c r="AB277" i="1"/>
  <c r="Z277" i="1"/>
  <c r="AL277" i="1" s="1"/>
  <c r="Q277" i="1"/>
  <c r="P277" i="1"/>
  <c r="J277" i="1"/>
  <c r="R277" i="1" s="1"/>
  <c r="S277" i="1" s="1"/>
  <c r="BM276" i="1"/>
  <c r="BB276" i="1"/>
  <c r="BA276" i="1"/>
  <c r="AZ276" i="1"/>
  <c r="AY276" i="1"/>
  <c r="AQ276" i="1"/>
  <c r="AP276" i="1"/>
  <c r="AR276" i="1" s="1"/>
  <c r="AI276" i="1"/>
  <c r="AH276" i="1"/>
  <c r="AE276" i="1"/>
  <c r="AJ276" i="1" s="1"/>
  <c r="AK276" i="1" s="1"/>
  <c r="AB276" i="1"/>
  <c r="Z276" i="1"/>
  <c r="Q276" i="1"/>
  <c r="P276" i="1"/>
  <c r="J276" i="1"/>
  <c r="R276" i="1" s="1"/>
  <c r="S276" i="1" s="1"/>
  <c r="BM275" i="1"/>
  <c r="AZ275" i="1"/>
  <c r="AY275" i="1"/>
  <c r="BA275" i="1" s="1"/>
  <c r="AR275" i="1"/>
  <c r="AQ275" i="1"/>
  <c r="AP275" i="1"/>
  <c r="AL275" i="1"/>
  <c r="AJ275" i="1"/>
  <c r="AB275" i="1"/>
  <c r="Q275" i="1"/>
  <c r="P275" i="1"/>
  <c r="J275" i="1"/>
  <c r="R275" i="1" s="1"/>
  <c r="S275" i="1" s="1"/>
  <c r="BM274" i="1"/>
  <c r="BD274" i="1"/>
  <c r="BA274" i="1"/>
  <c r="BC274" i="1" s="1"/>
  <c r="AZ274" i="1"/>
  <c r="AY274" i="1"/>
  <c r="AR274" i="1"/>
  <c r="AQ274" i="1"/>
  <c r="AP274" i="1"/>
  <c r="AI274" i="1"/>
  <c r="AH274" i="1"/>
  <c r="AJ274" i="1" s="1"/>
  <c r="AK274" i="1" s="1"/>
  <c r="AL274" i="1" s="1"/>
  <c r="AE274" i="1"/>
  <c r="AA274" i="1"/>
  <c r="AB274" i="1" s="1"/>
  <c r="Z274" i="1"/>
  <c r="Q274" i="1"/>
  <c r="P274" i="1"/>
  <c r="J274" i="1"/>
  <c r="R274" i="1" s="1"/>
  <c r="S274" i="1" s="1"/>
  <c r="BM273" i="1"/>
  <c r="BA273" i="1"/>
  <c r="BD273" i="1" s="1"/>
  <c r="AZ273" i="1"/>
  <c r="AY273" i="1"/>
  <c r="AQ273" i="1"/>
  <c r="AR273" i="1" s="1"/>
  <c r="AP273" i="1"/>
  <c r="AK273" i="1"/>
  <c r="AL273" i="1" s="1"/>
  <c r="AJ273" i="1"/>
  <c r="AB273" i="1"/>
  <c r="Q273" i="1"/>
  <c r="R273" i="1" s="1"/>
  <c r="S273" i="1" s="1"/>
  <c r="P273" i="1"/>
  <c r="J273" i="1"/>
  <c r="BM272" i="1"/>
  <c r="BI272" i="1"/>
  <c r="BC272" i="1"/>
  <c r="BB272" i="1"/>
  <c r="AZ272" i="1"/>
  <c r="AY272" i="1"/>
  <c r="BA272" i="1" s="1"/>
  <c r="BF272" i="1" s="1"/>
  <c r="AQ272" i="1"/>
  <c r="AR272" i="1" s="1"/>
  <c r="AP272" i="1"/>
  <c r="AK272" i="1"/>
  <c r="AJ272" i="1"/>
  <c r="AI272" i="1"/>
  <c r="AH272" i="1"/>
  <c r="AE272" i="1"/>
  <c r="Z272" i="1"/>
  <c r="AB272" i="1" s="1"/>
  <c r="Q272" i="1"/>
  <c r="P272" i="1"/>
  <c r="J272" i="1"/>
  <c r="R272" i="1" s="1"/>
  <c r="S272" i="1" s="1"/>
  <c r="BM271" i="1"/>
  <c r="AZ271" i="1"/>
  <c r="AY271" i="1"/>
  <c r="BA271" i="1" s="1"/>
  <c r="AQ271" i="1"/>
  <c r="AP271" i="1"/>
  <c r="AI271" i="1"/>
  <c r="AH271" i="1"/>
  <c r="AE271" i="1"/>
  <c r="AB271" i="1"/>
  <c r="Z271" i="1"/>
  <c r="Q271" i="1"/>
  <c r="P271" i="1"/>
  <c r="J271" i="1"/>
  <c r="R271" i="1" s="1"/>
  <c r="S271" i="1" s="1"/>
  <c r="BM270" i="1"/>
  <c r="BA270" i="1"/>
  <c r="AZ270" i="1"/>
  <c r="AY270" i="1"/>
  <c r="AQ270" i="1"/>
  <c r="AP270" i="1"/>
  <c r="AR270" i="1" s="1"/>
  <c r="AN270" i="1"/>
  <c r="Q270" i="1"/>
  <c r="P270" i="1"/>
  <c r="J270" i="1"/>
  <c r="R270" i="1" s="1"/>
  <c r="S270" i="1" s="1"/>
  <c r="BM269" i="1"/>
  <c r="AZ269" i="1"/>
  <c r="AY269" i="1"/>
  <c r="BA269" i="1" s="1"/>
  <c r="AR269" i="1"/>
  <c r="AQ269" i="1"/>
  <c r="AP269" i="1"/>
  <c r="AI269" i="1"/>
  <c r="AH269" i="1"/>
  <c r="AE269" i="1"/>
  <c r="AJ269" i="1" s="1"/>
  <c r="AK269" i="1" s="1"/>
  <c r="Z269" i="1"/>
  <c r="S269" i="1"/>
  <c r="Q269" i="1"/>
  <c r="P269" i="1"/>
  <c r="J269" i="1"/>
  <c r="R269" i="1" s="1"/>
  <c r="BM268" i="1"/>
  <c r="AZ268" i="1"/>
  <c r="AY268" i="1"/>
  <c r="AQ268" i="1"/>
  <c r="AP268" i="1"/>
  <c r="AR268" i="1" s="1"/>
  <c r="AJ268" i="1"/>
  <c r="AK268" i="1" s="1"/>
  <c r="AI268" i="1"/>
  <c r="AH268" i="1"/>
  <c r="AE268" i="1"/>
  <c r="Z268" i="1"/>
  <c r="S268" i="1"/>
  <c r="R268" i="1"/>
  <c r="Q268" i="1"/>
  <c r="P268" i="1"/>
  <c r="J268" i="1"/>
  <c r="BM267" i="1"/>
  <c r="AZ267" i="1"/>
  <c r="BA267" i="1" s="1"/>
  <c r="AY267" i="1"/>
  <c r="AQ267" i="1"/>
  <c r="AP267" i="1"/>
  <c r="AL267" i="1"/>
  <c r="AJ267" i="1"/>
  <c r="AB267" i="1"/>
  <c r="Q267" i="1"/>
  <c r="R267" i="1" s="1"/>
  <c r="S267" i="1" s="1"/>
  <c r="P267" i="1"/>
  <c r="J267" i="1"/>
  <c r="BM266" i="1"/>
  <c r="AZ266" i="1"/>
  <c r="AY266" i="1"/>
  <c r="BA266" i="1" s="1"/>
  <c r="AR266" i="1"/>
  <c r="AQ266" i="1"/>
  <c r="AP266" i="1"/>
  <c r="AK266" i="1"/>
  <c r="AL266" i="1" s="1"/>
  <c r="AJ266" i="1"/>
  <c r="AB266" i="1"/>
  <c r="R266" i="1"/>
  <c r="S266" i="1" s="1"/>
  <c r="Q266" i="1"/>
  <c r="P266" i="1"/>
  <c r="J266" i="1"/>
  <c r="BM265" i="1"/>
  <c r="AZ265" i="1"/>
  <c r="AY265" i="1"/>
  <c r="BA265" i="1" s="1"/>
  <c r="AQ265" i="1"/>
  <c r="AP265" i="1"/>
  <c r="AR265" i="1" s="1"/>
  <c r="AE265" i="1"/>
  <c r="AJ265" i="1" s="1"/>
  <c r="AK265" i="1" s="1"/>
  <c r="Z265" i="1"/>
  <c r="AB265" i="1" s="1"/>
  <c r="Q265" i="1"/>
  <c r="P265" i="1"/>
  <c r="J265" i="1"/>
  <c r="R265" i="1" s="1"/>
  <c r="S265" i="1" s="1"/>
  <c r="BM264" i="1"/>
  <c r="BC264" i="1"/>
  <c r="AZ264" i="1"/>
  <c r="AY264" i="1"/>
  <c r="BA264" i="1" s="1"/>
  <c r="BF264" i="1" s="1"/>
  <c r="AQ264" i="1"/>
  <c r="AP264" i="1"/>
  <c r="AR264" i="1" s="1"/>
  <c r="AJ264" i="1"/>
  <c r="AK264" i="1" s="1"/>
  <c r="AL264" i="1" s="1"/>
  <c r="AI264" i="1"/>
  <c r="AH264" i="1"/>
  <c r="AE264" i="1"/>
  <c r="Z264" i="1"/>
  <c r="AB264" i="1" s="1"/>
  <c r="Q264" i="1"/>
  <c r="P264" i="1"/>
  <c r="O264" i="1"/>
  <c r="J264" i="1"/>
  <c r="R264" i="1" s="1"/>
  <c r="S264" i="1" s="1"/>
  <c r="BM263" i="1"/>
  <c r="BD263" i="1"/>
  <c r="AZ263" i="1"/>
  <c r="BA263" i="1" s="1"/>
  <c r="AY263" i="1"/>
  <c r="AU263" i="1"/>
  <c r="AT263" i="1"/>
  <c r="AS263" i="1"/>
  <c r="AQ263" i="1"/>
  <c r="AP263" i="1"/>
  <c r="AR263" i="1" s="1"/>
  <c r="AJ263" i="1"/>
  <c r="AK263" i="1" s="1"/>
  <c r="AL263" i="1" s="1"/>
  <c r="AI263" i="1"/>
  <c r="AH263" i="1"/>
  <c r="AE263" i="1"/>
  <c r="AB263" i="1"/>
  <c r="Z263" i="1"/>
  <c r="Q263" i="1"/>
  <c r="R263" i="1" s="1"/>
  <c r="S263" i="1" s="1"/>
  <c r="P263" i="1"/>
  <c r="J263" i="1"/>
  <c r="BM262" i="1"/>
  <c r="BI262" i="1"/>
  <c r="BD262" i="1"/>
  <c r="BA262" i="1"/>
  <c r="BC262" i="1" s="1"/>
  <c r="AZ262" i="1"/>
  <c r="AY262" i="1"/>
  <c r="AT262" i="1"/>
  <c r="AQ262" i="1"/>
  <c r="AP262" i="1"/>
  <c r="AR262" i="1" s="1"/>
  <c r="AI262" i="1"/>
  <c r="AH262" i="1"/>
  <c r="AJ262" i="1" s="1"/>
  <c r="AK262" i="1" s="1"/>
  <c r="AL262" i="1" s="1"/>
  <c r="AE262" i="1"/>
  <c r="Z262" i="1"/>
  <c r="AB262" i="1" s="1"/>
  <c r="Q262" i="1"/>
  <c r="R262" i="1" s="1"/>
  <c r="S262" i="1" s="1"/>
  <c r="P262" i="1"/>
  <c r="J262" i="1"/>
  <c r="BM261" i="1"/>
  <c r="BA261" i="1"/>
  <c r="AZ261" i="1"/>
  <c r="AY261" i="1"/>
  <c r="AQ261" i="1"/>
  <c r="AR261" i="1" s="1"/>
  <c r="AP261" i="1"/>
  <c r="AL261" i="1"/>
  <c r="AJ261" i="1"/>
  <c r="AK261" i="1" s="1"/>
  <c r="Z261" i="1"/>
  <c r="AB261" i="1" s="1"/>
  <c r="Q261" i="1"/>
  <c r="P261" i="1"/>
  <c r="J261" i="1"/>
  <c r="R261" i="1" s="1"/>
  <c r="S261" i="1" s="1"/>
  <c r="BM260" i="1"/>
  <c r="AZ260" i="1"/>
  <c r="AY260" i="1"/>
  <c r="BA260" i="1" s="1"/>
  <c r="AQ260" i="1"/>
  <c r="AP260" i="1"/>
  <c r="AR260" i="1" s="1"/>
  <c r="AH260" i="1"/>
  <c r="AJ260" i="1" s="1"/>
  <c r="AK260" i="1" s="1"/>
  <c r="AE260" i="1"/>
  <c r="AB260" i="1"/>
  <c r="Z260" i="1"/>
  <c r="Q260" i="1"/>
  <c r="P260" i="1"/>
  <c r="J260" i="1"/>
  <c r="R260" i="1" s="1"/>
  <c r="S260" i="1" s="1"/>
  <c r="BM259" i="1"/>
  <c r="BF259" i="1"/>
  <c r="BD259" i="1"/>
  <c r="BB259" i="1"/>
  <c r="BA259" i="1"/>
  <c r="BC259" i="1" s="1"/>
  <c r="AZ259" i="1"/>
  <c r="AY259" i="1"/>
  <c r="AQ259" i="1"/>
  <c r="AP259" i="1"/>
  <c r="AL259" i="1"/>
  <c r="AJ259" i="1"/>
  <c r="AK259" i="1" s="1"/>
  <c r="AI259" i="1"/>
  <c r="AH259" i="1"/>
  <c r="AE259" i="1"/>
  <c r="Z259" i="1"/>
  <c r="AB259" i="1" s="1"/>
  <c r="S259" i="1"/>
  <c r="Q259" i="1"/>
  <c r="P259" i="1"/>
  <c r="J259" i="1"/>
  <c r="R259" i="1" s="1"/>
  <c r="BM258" i="1"/>
  <c r="BC258" i="1"/>
  <c r="BB258" i="1"/>
  <c r="BA258" i="1"/>
  <c r="BF258" i="1" s="1"/>
  <c r="AZ258" i="1"/>
  <c r="AY258" i="1"/>
  <c r="AR258" i="1"/>
  <c r="AQ258" i="1"/>
  <c r="AP258" i="1"/>
  <c r="AK258" i="1"/>
  <c r="AJ258" i="1"/>
  <c r="AI258" i="1"/>
  <c r="AH258" i="1"/>
  <c r="AE258" i="1"/>
  <c r="Z258" i="1"/>
  <c r="AB258" i="1" s="1"/>
  <c r="W258" i="1"/>
  <c r="Q258" i="1"/>
  <c r="R258" i="1" s="1"/>
  <c r="S258" i="1" s="1"/>
  <c r="P258" i="1"/>
  <c r="J258" i="1"/>
  <c r="BM257" i="1"/>
  <c r="AZ257" i="1"/>
  <c r="AY257" i="1"/>
  <c r="AU257" i="1"/>
  <c r="AT257" i="1"/>
  <c r="AS257" i="1"/>
  <c r="AR257" i="1"/>
  <c r="AQ257" i="1"/>
  <c r="AP257" i="1"/>
  <c r="AJ257" i="1"/>
  <c r="AK257" i="1" s="1"/>
  <c r="AI257" i="1"/>
  <c r="AH257" i="1"/>
  <c r="AE257" i="1"/>
  <c r="Z257" i="1"/>
  <c r="Q257" i="1"/>
  <c r="R257" i="1" s="1"/>
  <c r="S257" i="1" s="1"/>
  <c r="P257" i="1"/>
  <c r="J257" i="1"/>
  <c r="BM256" i="1"/>
  <c r="AZ256" i="1"/>
  <c r="AY256" i="1"/>
  <c r="BA256" i="1" s="1"/>
  <c r="AQ256" i="1"/>
  <c r="AP256" i="1"/>
  <c r="AR256" i="1" s="1"/>
  <c r="AK256" i="1"/>
  <c r="AJ256" i="1"/>
  <c r="AI256" i="1"/>
  <c r="AH256" i="1"/>
  <c r="AE256" i="1"/>
  <c r="AA256" i="1"/>
  <c r="Z256" i="1"/>
  <c r="Q256" i="1"/>
  <c r="P256" i="1"/>
  <c r="J256" i="1"/>
  <c r="BM255" i="1"/>
  <c r="AZ255" i="1"/>
  <c r="AY255" i="1"/>
  <c r="AQ255" i="1"/>
  <c r="AP255" i="1"/>
  <c r="AR255" i="1" s="1"/>
  <c r="AI255" i="1"/>
  <c r="AH255" i="1"/>
  <c r="AE255" i="1"/>
  <c r="AJ255" i="1" s="1"/>
  <c r="AK255" i="1" s="1"/>
  <c r="AL255" i="1" s="1"/>
  <c r="AB255" i="1"/>
  <c r="Z255" i="1"/>
  <c r="R255" i="1"/>
  <c r="S255" i="1" s="1"/>
  <c r="Q255" i="1"/>
  <c r="P255" i="1"/>
  <c r="J255" i="1"/>
  <c r="BM254" i="1"/>
  <c r="AZ254" i="1"/>
  <c r="AY254" i="1"/>
  <c r="BA254" i="1" s="1"/>
  <c r="AR254" i="1"/>
  <c r="AQ254" i="1"/>
  <c r="AP254" i="1"/>
  <c r="AJ254" i="1"/>
  <c r="AK254" i="1" s="1"/>
  <c r="AI254" i="1"/>
  <c r="AH254" i="1"/>
  <c r="AE254" i="1"/>
  <c r="AB254" i="1"/>
  <c r="Z254" i="1"/>
  <c r="AL254" i="1" s="1"/>
  <c r="R254" i="1"/>
  <c r="S254" i="1" s="1"/>
  <c r="Q254" i="1"/>
  <c r="P254" i="1"/>
  <c r="J254" i="1"/>
  <c r="BM253" i="1"/>
  <c r="AZ253" i="1"/>
  <c r="AY253" i="1"/>
  <c r="AR253" i="1"/>
  <c r="AQ253" i="1"/>
  <c r="AP253" i="1"/>
  <c r="AL253" i="1"/>
  <c r="AE253" i="1"/>
  <c r="AJ253" i="1" s="1"/>
  <c r="AB253" i="1"/>
  <c r="Z253" i="1"/>
  <c r="Q253" i="1"/>
  <c r="R253" i="1" s="1"/>
  <c r="S253" i="1" s="1"/>
  <c r="P253" i="1"/>
  <c r="J253" i="1"/>
  <c r="BM252" i="1"/>
  <c r="AZ252" i="1"/>
  <c r="AY252" i="1"/>
  <c r="BA252" i="1" s="1"/>
  <c r="AT252" i="1"/>
  <c r="AS252" i="1"/>
  <c r="AQ252" i="1"/>
  <c r="AR252" i="1" s="1"/>
  <c r="BI252" i="1" s="1"/>
  <c r="AP252" i="1"/>
  <c r="AL252" i="1"/>
  <c r="AK252" i="1"/>
  <c r="AJ252" i="1"/>
  <c r="AB252" i="1"/>
  <c r="S252" i="1"/>
  <c r="R252" i="1"/>
  <c r="Q252" i="1"/>
  <c r="P252" i="1"/>
  <c r="J252" i="1"/>
  <c r="BM251" i="1"/>
  <c r="BF251" i="1"/>
  <c r="BA251" i="1"/>
  <c r="BD251" i="1" s="1"/>
  <c r="AZ251" i="1"/>
  <c r="AY251" i="1"/>
  <c r="AQ251" i="1"/>
  <c r="AR251" i="1" s="1"/>
  <c r="AP251" i="1"/>
  <c r="AK251" i="1"/>
  <c r="AJ251" i="1"/>
  <c r="AI251" i="1"/>
  <c r="AH251" i="1"/>
  <c r="AE251" i="1"/>
  <c r="AA251" i="1"/>
  <c r="Z251" i="1"/>
  <c r="W251" i="1"/>
  <c r="S251" i="1"/>
  <c r="R251" i="1"/>
  <c r="Q251" i="1"/>
  <c r="P251" i="1"/>
  <c r="J251" i="1"/>
  <c r="BM250" i="1"/>
  <c r="AZ250" i="1"/>
  <c r="AY250" i="1"/>
  <c r="BA250" i="1" s="1"/>
  <c r="AU250" i="1"/>
  <c r="AR250" i="1"/>
  <c r="AQ250" i="1"/>
  <c r="AP250" i="1"/>
  <c r="Q250" i="1"/>
  <c r="P250" i="1"/>
  <c r="J250" i="1"/>
  <c r="R250" i="1" s="1"/>
  <c r="S250" i="1" s="1"/>
  <c r="BM249" i="1"/>
  <c r="AZ249" i="1"/>
  <c r="AY249" i="1"/>
  <c r="AS249" i="1"/>
  <c r="AQ249" i="1"/>
  <c r="AP249" i="1"/>
  <c r="AR249" i="1" s="1"/>
  <c r="AI249" i="1"/>
  <c r="AH249" i="1"/>
  <c r="AE249" i="1"/>
  <c r="AB249" i="1"/>
  <c r="Z249" i="1"/>
  <c r="S249" i="1"/>
  <c r="R249" i="1"/>
  <c r="Q249" i="1"/>
  <c r="P249" i="1"/>
  <c r="J249" i="1"/>
  <c r="BM248" i="1"/>
  <c r="BB248" i="1"/>
  <c r="AZ248" i="1"/>
  <c r="BA248" i="1" s="1"/>
  <c r="BC248" i="1" s="1"/>
  <c r="AY248" i="1"/>
  <c r="AT248" i="1"/>
  <c r="AQ248" i="1"/>
  <c r="AP248" i="1"/>
  <c r="AR248" i="1" s="1"/>
  <c r="AJ248" i="1"/>
  <c r="AK248" i="1" s="1"/>
  <c r="AL248" i="1" s="1"/>
  <c r="AI248" i="1"/>
  <c r="AH248" i="1"/>
  <c r="AE248" i="1"/>
  <c r="Z248" i="1"/>
  <c r="AB248" i="1" s="1"/>
  <c r="Q248" i="1"/>
  <c r="R248" i="1" s="1"/>
  <c r="S248" i="1" s="1"/>
  <c r="P248" i="1"/>
  <c r="J248" i="1"/>
  <c r="BM247" i="1"/>
  <c r="BI247" i="1"/>
  <c r="BA247" i="1"/>
  <c r="AZ247" i="1"/>
  <c r="AY247" i="1"/>
  <c r="AQ247" i="1"/>
  <c r="AP247" i="1"/>
  <c r="AR247" i="1" s="1"/>
  <c r="AJ247" i="1"/>
  <c r="AK247" i="1" s="1"/>
  <c r="AL247" i="1" s="1"/>
  <c r="AI247" i="1"/>
  <c r="AH247" i="1"/>
  <c r="AE247" i="1"/>
  <c r="AB247" i="1"/>
  <c r="Q247" i="1"/>
  <c r="P247" i="1"/>
  <c r="J247" i="1"/>
  <c r="R247" i="1" s="1"/>
  <c r="S247" i="1" s="1"/>
  <c r="BM246" i="1"/>
  <c r="BF246" i="1"/>
  <c r="BD246" i="1"/>
  <c r="BC246" i="1"/>
  <c r="BB246" i="1"/>
  <c r="BA246" i="1"/>
  <c r="AZ246" i="1"/>
  <c r="AY246" i="1"/>
  <c r="AU246" i="1"/>
  <c r="AQ246" i="1"/>
  <c r="AP246" i="1"/>
  <c r="AR246" i="1" s="1"/>
  <c r="AI246" i="1"/>
  <c r="AH246" i="1"/>
  <c r="AJ246" i="1" s="1"/>
  <c r="AK246" i="1" s="1"/>
  <c r="AE246" i="1"/>
  <c r="AA246" i="1"/>
  <c r="AB246" i="1" s="1"/>
  <c r="Z246" i="1"/>
  <c r="X246" i="1"/>
  <c r="W246" i="1"/>
  <c r="S246" i="1"/>
  <c r="Q246" i="1"/>
  <c r="R246" i="1" s="1"/>
  <c r="P246" i="1"/>
  <c r="BM245" i="1"/>
  <c r="BB245" i="1"/>
  <c r="AZ245" i="1"/>
  <c r="AY245" i="1"/>
  <c r="BA245" i="1" s="1"/>
  <c r="AR245" i="1"/>
  <c r="AQ245" i="1"/>
  <c r="AP245" i="1"/>
  <c r="AI245" i="1"/>
  <c r="AH245" i="1"/>
  <c r="AJ245" i="1" s="1"/>
  <c r="AK245" i="1" s="1"/>
  <c r="AL245" i="1" s="1"/>
  <c r="AE245" i="1"/>
  <c r="AA245" i="1"/>
  <c r="AB245" i="1" s="1"/>
  <c r="Z245" i="1"/>
  <c r="R245" i="1"/>
  <c r="S245" i="1" s="1"/>
  <c r="Q245" i="1"/>
  <c r="P245" i="1"/>
  <c r="J245" i="1"/>
  <c r="BM244" i="1"/>
  <c r="BA244" i="1"/>
  <c r="AZ244" i="1"/>
  <c r="AY244" i="1"/>
  <c r="AS244" i="1"/>
  <c r="AR244" i="1"/>
  <c r="AQ244" i="1"/>
  <c r="AP244" i="1"/>
  <c r="AJ244" i="1"/>
  <c r="AK244" i="1" s="1"/>
  <c r="AL244" i="1" s="1"/>
  <c r="AI244" i="1"/>
  <c r="AH244" i="1"/>
  <c r="AE244" i="1"/>
  <c r="AB244" i="1"/>
  <c r="AA244" i="1"/>
  <c r="Z244" i="1"/>
  <c r="Q244" i="1"/>
  <c r="P244" i="1"/>
  <c r="J244" i="1"/>
  <c r="R244" i="1" s="1"/>
  <c r="S244" i="1" s="1"/>
  <c r="BM243" i="1"/>
  <c r="AZ243" i="1"/>
  <c r="AY243" i="1"/>
  <c r="AU243" i="1"/>
  <c r="AT243" i="1"/>
  <c r="AS243" i="1"/>
  <c r="AQ243" i="1"/>
  <c r="AP243" i="1"/>
  <c r="AR243" i="1" s="1"/>
  <c r="AJ243" i="1"/>
  <c r="AK243" i="1" s="1"/>
  <c r="AH243" i="1"/>
  <c r="AE243" i="1"/>
  <c r="Z243" i="1"/>
  <c r="R243" i="1"/>
  <c r="S243" i="1" s="1"/>
  <c r="Q243" i="1"/>
  <c r="P243" i="1"/>
  <c r="BM242" i="1"/>
  <c r="AZ242" i="1"/>
  <c r="AY242" i="1"/>
  <c r="BA242" i="1" s="1"/>
  <c r="AR242" i="1"/>
  <c r="AQ242" i="1"/>
  <c r="AP242" i="1"/>
  <c r="AH242" i="1"/>
  <c r="AE242" i="1"/>
  <c r="Z242" i="1"/>
  <c r="S242" i="1"/>
  <c r="Q242" i="1"/>
  <c r="P242" i="1"/>
  <c r="J242" i="1"/>
  <c r="R242" i="1" s="1"/>
  <c r="BM241" i="1"/>
  <c r="BC241" i="1"/>
  <c r="AZ241" i="1"/>
  <c r="AY241" i="1"/>
  <c r="BA241" i="1" s="1"/>
  <c r="BB241" i="1" s="1"/>
  <c r="AQ241" i="1"/>
  <c r="AP241" i="1"/>
  <c r="AJ241" i="1"/>
  <c r="AK241" i="1" s="1"/>
  <c r="AL241" i="1" s="1"/>
  <c r="AH241" i="1"/>
  <c r="AE241" i="1"/>
  <c r="AB241" i="1"/>
  <c r="Z241" i="1"/>
  <c r="Q241" i="1"/>
  <c r="R241" i="1" s="1"/>
  <c r="S241" i="1" s="1"/>
  <c r="P241" i="1"/>
  <c r="BM240" i="1"/>
  <c r="BI240" i="1"/>
  <c r="AZ240" i="1"/>
  <c r="AY240" i="1"/>
  <c r="BA240" i="1" s="1"/>
  <c r="AQ240" i="1"/>
  <c r="AR240" i="1" s="1"/>
  <c r="AP240" i="1"/>
  <c r="AJ240" i="1"/>
  <c r="AK240" i="1" s="1"/>
  <c r="AL240" i="1" s="1"/>
  <c r="AH240" i="1"/>
  <c r="AE240" i="1"/>
  <c r="Z240" i="1"/>
  <c r="AB240" i="1" s="1"/>
  <c r="Q240" i="1"/>
  <c r="P240" i="1"/>
  <c r="J240" i="1"/>
  <c r="BM239" i="1"/>
  <c r="BA239" i="1"/>
  <c r="AZ239" i="1"/>
  <c r="AY239" i="1"/>
  <c r="AT239" i="1"/>
  <c r="AS239" i="1"/>
  <c r="AQ239" i="1"/>
  <c r="AR239" i="1" s="1"/>
  <c r="AP239" i="1"/>
  <c r="AL239" i="1"/>
  <c r="AH239" i="1"/>
  <c r="AE239" i="1"/>
  <c r="AJ239" i="1" s="1"/>
  <c r="AK239" i="1" s="1"/>
  <c r="Z239" i="1"/>
  <c r="AB239" i="1" s="1"/>
  <c r="Q239" i="1"/>
  <c r="P239" i="1"/>
  <c r="J239" i="1"/>
  <c r="BM238" i="1"/>
  <c r="AZ238" i="1"/>
  <c r="AY238" i="1"/>
  <c r="BA238" i="1" s="1"/>
  <c r="AQ238" i="1"/>
  <c r="AP238" i="1"/>
  <c r="AR238" i="1" s="1"/>
  <c r="AJ238" i="1"/>
  <c r="AK238" i="1" s="1"/>
  <c r="AH238" i="1"/>
  <c r="AE238" i="1"/>
  <c r="AB238" i="1"/>
  <c r="Z238" i="1"/>
  <c r="Q238" i="1"/>
  <c r="P238" i="1"/>
  <c r="J238" i="1"/>
  <c r="BM237" i="1"/>
  <c r="AZ237" i="1"/>
  <c r="AY237" i="1"/>
  <c r="AW237" i="1"/>
  <c r="AT237" i="1"/>
  <c r="AR237" i="1"/>
  <c r="AQ237" i="1"/>
  <c r="AP237" i="1"/>
  <c r="AH237" i="1"/>
  <c r="AE237" i="1"/>
  <c r="AJ237" i="1" s="1"/>
  <c r="AK237" i="1" s="1"/>
  <c r="Z237" i="1"/>
  <c r="Q237" i="1"/>
  <c r="P237" i="1"/>
  <c r="J237" i="1"/>
  <c r="R237" i="1" s="1"/>
  <c r="S237" i="1" s="1"/>
  <c r="BM236" i="1"/>
  <c r="AZ236" i="1"/>
  <c r="AY236" i="1"/>
  <c r="BA236" i="1" s="1"/>
  <c r="AU236" i="1"/>
  <c r="AR236" i="1"/>
  <c r="AQ236" i="1"/>
  <c r="AP236" i="1"/>
  <c r="AH236" i="1"/>
  <c r="AE236" i="1"/>
  <c r="AJ236" i="1" s="1"/>
  <c r="AK236" i="1" s="1"/>
  <c r="AL236" i="1" s="1"/>
  <c r="Z236" i="1"/>
  <c r="AB236" i="1" s="1"/>
  <c r="Q236" i="1"/>
  <c r="P236" i="1"/>
  <c r="J236" i="1"/>
  <c r="BM235" i="1"/>
  <c r="BF235" i="1"/>
  <c r="AZ235" i="1"/>
  <c r="AY235" i="1"/>
  <c r="BA235" i="1" s="1"/>
  <c r="AQ235" i="1"/>
  <c r="AP235" i="1"/>
  <c r="AR235" i="1" s="1"/>
  <c r="AI235" i="1"/>
  <c r="AH235" i="1"/>
  <c r="AE235" i="1"/>
  <c r="AJ235" i="1" s="1"/>
  <c r="AK235" i="1" s="1"/>
  <c r="AL235" i="1" s="1"/>
  <c r="AB235" i="1"/>
  <c r="Z235" i="1"/>
  <c r="S235" i="1"/>
  <c r="Q235" i="1"/>
  <c r="R235" i="1" s="1"/>
  <c r="P235" i="1"/>
  <c r="J235" i="1"/>
  <c r="BM234" i="1"/>
  <c r="BA234" i="1"/>
  <c r="AZ234" i="1"/>
  <c r="AY234" i="1"/>
  <c r="AT234" i="1"/>
  <c r="AQ234" i="1"/>
  <c r="AP234" i="1"/>
  <c r="AR234" i="1" s="1"/>
  <c r="AI234" i="1"/>
  <c r="AH234" i="1"/>
  <c r="AE234" i="1"/>
  <c r="AJ234" i="1" s="1"/>
  <c r="AK234" i="1" s="1"/>
  <c r="AB234" i="1"/>
  <c r="AA234" i="1"/>
  <c r="Z234" i="1"/>
  <c r="AL234" i="1" s="1"/>
  <c r="Q234" i="1"/>
  <c r="P234" i="1"/>
  <c r="J234" i="1"/>
  <c r="R234" i="1" s="1"/>
  <c r="S234" i="1" s="1"/>
  <c r="BM233" i="1"/>
  <c r="AZ233" i="1"/>
  <c r="AY233" i="1"/>
  <c r="BA233" i="1" s="1"/>
  <c r="AQ233" i="1"/>
  <c r="AR233" i="1" s="1"/>
  <c r="AP233" i="1"/>
  <c r="AI233" i="1"/>
  <c r="AH233" i="1"/>
  <c r="AE233" i="1"/>
  <c r="AJ233" i="1" s="1"/>
  <c r="AK233" i="1" s="1"/>
  <c r="AL233" i="1" s="1"/>
  <c r="AB233" i="1"/>
  <c r="Z233" i="1"/>
  <c r="Q233" i="1"/>
  <c r="R233" i="1" s="1"/>
  <c r="S233" i="1" s="1"/>
  <c r="P233" i="1"/>
  <c r="J233" i="1"/>
  <c r="BM232" i="1"/>
  <c r="BF232" i="1"/>
  <c r="AZ232" i="1"/>
  <c r="AY232" i="1"/>
  <c r="BA232" i="1" s="1"/>
  <c r="AQ232" i="1"/>
  <c r="AP232" i="1"/>
  <c r="AI232" i="1"/>
  <c r="AH232" i="1"/>
  <c r="AE232" i="1"/>
  <c r="AA232" i="1"/>
  <c r="AB232" i="1" s="1"/>
  <c r="Z232" i="1"/>
  <c r="Q232" i="1"/>
  <c r="P232" i="1"/>
  <c r="J232" i="1"/>
  <c r="R232" i="1" s="1"/>
  <c r="S232" i="1" s="1"/>
  <c r="BM231" i="1"/>
  <c r="AZ231" i="1"/>
  <c r="AY231" i="1"/>
  <c r="BA231" i="1" s="1"/>
  <c r="AR231" i="1"/>
  <c r="AQ231" i="1"/>
  <c r="AP231" i="1"/>
  <c r="AH231" i="1"/>
  <c r="AJ231" i="1" s="1"/>
  <c r="AK231" i="1" s="1"/>
  <c r="AL231" i="1" s="1"/>
  <c r="AE231" i="1"/>
  <c r="AB231" i="1"/>
  <c r="Q231" i="1"/>
  <c r="P231" i="1"/>
  <c r="J231" i="1"/>
  <c r="R231" i="1" s="1"/>
  <c r="S231" i="1" s="1"/>
  <c r="BM230" i="1"/>
  <c r="BA230" i="1"/>
  <c r="AZ230" i="1"/>
  <c r="AY230" i="1"/>
  <c r="AR230" i="1"/>
  <c r="AQ230" i="1"/>
  <c r="AP230" i="1"/>
  <c r="AK230" i="1"/>
  <c r="AJ230" i="1"/>
  <c r="AH230" i="1"/>
  <c r="AE230" i="1"/>
  <c r="Z230" i="1"/>
  <c r="Q230" i="1"/>
  <c r="P230" i="1"/>
  <c r="J230" i="1"/>
  <c r="BM229" i="1"/>
  <c r="BC229" i="1"/>
  <c r="AZ229" i="1"/>
  <c r="BA229" i="1" s="1"/>
  <c r="AY229" i="1"/>
  <c r="AU229" i="1"/>
  <c r="AS229" i="1"/>
  <c r="AR229" i="1"/>
  <c r="AQ229" i="1"/>
  <c r="AP229" i="1"/>
  <c r="AH229" i="1"/>
  <c r="AE229" i="1"/>
  <c r="AJ229" i="1" s="1"/>
  <c r="AK229" i="1" s="1"/>
  <c r="Z229" i="1"/>
  <c r="Q229" i="1"/>
  <c r="P229" i="1"/>
  <c r="J229" i="1"/>
  <c r="R229" i="1" s="1"/>
  <c r="S229" i="1" s="1"/>
  <c r="BM228" i="1"/>
  <c r="BD228" i="1"/>
  <c r="AZ228" i="1"/>
  <c r="AY228" i="1"/>
  <c r="BA228" i="1" s="1"/>
  <c r="AQ228" i="1"/>
  <c r="AP228" i="1"/>
  <c r="AR228" i="1" s="1"/>
  <c r="AH228" i="1"/>
  <c r="AJ228" i="1" s="1"/>
  <c r="AK228" i="1" s="1"/>
  <c r="AE228" i="1"/>
  <c r="Z228" i="1"/>
  <c r="S228" i="1"/>
  <c r="R228" i="1"/>
  <c r="Q228" i="1"/>
  <c r="P228" i="1"/>
  <c r="J228" i="1"/>
  <c r="BM227" i="1"/>
  <c r="BA227" i="1"/>
  <c r="AZ227" i="1"/>
  <c r="AY227" i="1"/>
  <c r="AU227" i="1"/>
  <c r="AT227" i="1"/>
  <c r="AS227" i="1"/>
  <c r="AR227" i="1"/>
  <c r="AQ227" i="1"/>
  <c r="AP227" i="1"/>
  <c r="AH227" i="1"/>
  <c r="AJ227" i="1" s="1"/>
  <c r="AK227" i="1" s="1"/>
  <c r="AL227" i="1" s="1"/>
  <c r="AE227" i="1"/>
  <c r="AB227" i="1"/>
  <c r="Z227" i="1"/>
  <c r="Q227" i="1"/>
  <c r="R227" i="1" s="1"/>
  <c r="S227" i="1" s="1"/>
  <c r="P227" i="1"/>
  <c r="J227" i="1"/>
  <c r="BM226" i="1"/>
  <c r="AZ226" i="1"/>
  <c r="AY226" i="1"/>
  <c r="BA226" i="1" s="1"/>
  <c r="AR226" i="1"/>
  <c r="AQ226" i="1"/>
  <c r="AP226" i="1"/>
  <c r="AK226" i="1"/>
  <c r="AL226" i="1" s="1"/>
  <c r="AJ226" i="1"/>
  <c r="AH226" i="1"/>
  <c r="AE226" i="1"/>
  <c r="Z226" i="1"/>
  <c r="AB226" i="1" s="1"/>
  <c r="Q226" i="1"/>
  <c r="P226" i="1"/>
  <c r="J226" i="1"/>
  <c r="BM225" i="1"/>
  <c r="AZ225" i="1"/>
  <c r="AY225" i="1"/>
  <c r="AQ225" i="1"/>
  <c r="AP225" i="1"/>
  <c r="AI225" i="1"/>
  <c r="AH225" i="1"/>
  <c r="AE225" i="1"/>
  <c r="AA225" i="1"/>
  <c r="AB225" i="1" s="1"/>
  <c r="Z225" i="1"/>
  <c r="Q225" i="1"/>
  <c r="P225" i="1"/>
  <c r="J225" i="1"/>
  <c r="R225" i="1" s="1"/>
  <c r="S225" i="1" s="1"/>
  <c r="BM224" i="1"/>
  <c r="BD224" i="1"/>
  <c r="BB224" i="1"/>
  <c r="BA224" i="1"/>
  <c r="BC224" i="1" s="1"/>
  <c r="AZ224" i="1"/>
  <c r="AY224" i="1"/>
  <c r="AU224" i="1"/>
  <c r="AR224" i="1"/>
  <c r="AQ224" i="1"/>
  <c r="AP224" i="1"/>
  <c r="AH224" i="1"/>
  <c r="AE224" i="1"/>
  <c r="AB224" i="1"/>
  <c r="Z224" i="1"/>
  <c r="S224" i="1"/>
  <c r="Q224" i="1"/>
  <c r="P224" i="1"/>
  <c r="J224" i="1"/>
  <c r="R224" i="1" s="1"/>
  <c r="BM223" i="1"/>
  <c r="BF223" i="1"/>
  <c r="BA223" i="1"/>
  <c r="AZ223" i="1"/>
  <c r="AY223" i="1"/>
  <c r="AQ223" i="1"/>
  <c r="AP223" i="1"/>
  <c r="AK223" i="1"/>
  <c r="AL223" i="1" s="1"/>
  <c r="AH223" i="1"/>
  <c r="AE223" i="1"/>
  <c r="AJ223" i="1" s="1"/>
  <c r="Z223" i="1"/>
  <c r="AB223" i="1" s="1"/>
  <c r="Q223" i="1"/>
  <c r="P223" i="1"/>
  <c r="J223" i="1"/>
  <c r="R223" i="1" s="1"/>
  <c r="S223" i="1" s="1"/>
  <c r="BM222" i="1"/>
  <c r="BA222" i="1"/>
  <c r="AZ222" i="1"/>
  <c r="AY222" i="1"/>
  <c r="AQ222" i="1"/>
  <c r="AP222" i="1"/>
  <c r="AR222" i="1" s="1"/>
  <c r="AJ222" i="1"/>
  <c r="AK222" i="1" s="1"/>
  <c r="AH222" i="1"/>
  <c r="AE222" i="1"/>
  <c r="Z222" i="1"/>
  <c r="R222" i="1"/>
  <c r="S222" i="1" s="1"/>
  <c r="Q222" i="1"/>
  <c r="P222" i="1"/>
  <c r="J222" i="1"/>
  <c r="BM221" i="1"/>
  <c r="BI221" i="1"/>
  <c r="BB221" i="1"/>
  <c r="BA221" i="1"/>
  <c r="AZ221" i="1"/>
  <c r="AY221" i="1"/>
  <c r="AU221" i="1"/>
  <c r="AS221" i="1"/>
  <c r="AQ221" i="1"/>
  <c r="AR221" i="1" s="1"/>
  <c r="AT221" i="1" s="1"/>
  <c r="AP221" i="1"/>
  <c r="AJ221" i="1"/>
  <c r="AK221" i="1" s="1"/>
  <c r="AH221" i="1"/>
  <c r="AE221" i="1"/>
  <c r="Z221" i="1"/>
  <c r="S221" i="1"/>
  <c r="Q221" i="1"/>
  <c r="P221" i="1"/>
  <c r="J221" i="1"/>
  <c r="R221" i="1" s="1"/>
  <c r="BM220" i="1"/>
  <c r="BA220" i="1"/>
  <c r="AZ220" i="1"/>
  <c r="AY220" i="1"/>
  <c r="AR220" i="1"/>
  <c r="AQ220" i="1"/>
  <c r="AP220" i="1"/>
  <c r="AI220" i="1"/>
  <c r="AH220" i="1"/>
  <c r="AE220" i="1"/>
  <c r="AJ220" i="1" s="1"/>
  <c r="AK220" i="1" s="1"/>
  <c r="AA220" i="1"/>
  <c r="Z220" i="1"/>
  <c r="AL220" i="1" s="1"/>
  <c r="R220" i="1"/>
  <c r="S220" i="1" s="1"/>
  <c r="Q220" i="1"/>
  <c r="P220" i="1"/>
  <c r="J220" i="1"/>
  <c r="BM219" i="1"/>
  <c r="AZ219" i="1"/>
  <c r="AY219" i="1"/>
  <c r="BA219" i="1" s="1"/>
  <c r="AQ219" i="1"/>
  <c r="AP219" i="1"/>
  <c r="AR219" i="1" s="1"/>
  <c r="AH219" i="1"/>
  <c r="AE219" i="1"/>
  <c r="Z219" i="1"/>
  <c r="AB219" i="1" s="1"/>
  <c r="R219" i="1"/>
  <c r="S219" i="1" s="1"/>
  <c r="Q219" i="1"/>
  <c r="P219" i="1"/>
  <c r="J219" i="1"/>
  <c r="BM218" i="1"/>
  <c r="BA218" i="1"/>
  <c r="AZ218" i="1"/>
  <c r="AY218" i="1"/>
  <c r="AQ218" i="1"/>
  <c r="AP218" i="1"/>
  <c r="AH218" i="1"/>
  <c r="AE218" i="1"/>
  <c r="AB218" i="1"/>
  <c r="Z218" i="1"/>
  <c r="Q218" i="1"/>
  <c r="R218" i="1" s="1"/>
  <c r="S218" i="1" s="1"/>
  <c r="P218" i="1"/>
  <c r="J218" i="1"/>
  <c r="BM217" i="1"/>
  <c r="AZ217" i="1"/>
  <c r="AY217" i="1"/>
  <c r="BA217" i="1" s="1"/>
  <c r="BF217" i="1" s="1"/>
  <c r="AU217" i="1"/>
  <c r="AS217" i="1"/>
  <c r="AQ217" i="1"/>
  <c r="AR217" i="1" s="1"/>
  <c r="AP217" i="1"/>
  <c r="AH217" i="1"/>
  <c r="AJ217" i="1" s="1"/>
  <c r="AK217" i="1" s="1"/>
  <c r="AL217" i="1" s="1"/>
  <c r="AE217" i="1"/>
  <c r="AB217" i="1"/>
  <c r="Z217" i="1"/>
  <c r="Q217" i="1"/>
  <c r="R217" i="1" s="1"/>
  <c r="S217" i="1" s="1"/>
  <c r="P217" i="1"/>
  <c r="BM216" i="1"/>
  <c r="BA216" i="1"/>
  <c r="AZ216" i="1"/>
  <c r="AY216" i="1"/>
  <c r="AQ216" i="1"/>
  <c r="AP216" i="1"/>
  <c r="AH216" i="1"/>
  <c r="AE216" i="1"/>
  <c r="AB216" i="1"/>
  <c r="Z216" i="1"/>
  <c r="S216" i="1"/>
  <c r="Q216" i="1"/>
  <c r="R216" i="1" s="1"/>
  <c r="P216" i="1"/>
  <c r="J216" i="1"/>
  <c r="BM215" i="1"/>
  <c r="BF215" i="1"/>
  <c r="BD215" i="1"/>
  <c r="AZ215" i="1"/>
  <c r="AY215" i="1"/>
  <c r="BA215" i="1" s="1"/>
  <c r="AQ215" i="1"/>
  <c r="AP215" i="1"/>
  <c r="AR215" i="1" s="1"/>
  <c r="AH215" i="1"/>
  <c r="AJ215" i="1" s="1"/>
  <c r="AK215" i="1" s="1"/>
  <c r="AL215" i="1" s="1"/>
  <c r="AE215" i="1"/>
  <c r="AB215" i="1"/>
  <c r="Z215" i="1"/>
  <c r="Q215" i="1"/>
  <c r="R215" i="1" s="1"/>
  <c r="S215" i="1" s="1"/>
  <c r="P215" i="1"/>
  <c r="J215" i="1"/>
  <c r="BM214" i="1"/>
  <c r="AZ214" i="1"/>
  <c r="AY214" i="1"/>
  <c r="AQ214" i="1"/>
  <c r="AP214" i="1"/>
  <c r="AH214" i="1"/>
  <c r="AJ214" i="1" s="1"/>
  <c r="AK214" i="1" s="1"/>
  <c r="AL214" i="1" s="1"/>
  <c r="AE214" i="1"/>
  <c r="AB214" i="1"/>
  <c r="Z214" i="1"/>
  <c r="R214" i="1"/>
  <c r="S214" i="1" s="1"/>
  <c r="Q214" i="1"/>
  <c r="P214" i="1"/>
  <c r="J214" i="1"/>
  <c r="BM213" i="1"/>
  <c r="BA213" i="1"/>
  <c r="AZ213" i="1"/>
  <c r="AY213" i="1"/>
  <c r="AQ213" i="1"/>
  <c r="AP213" i="1"/>
  <c r="AR213" i="1" s="1"/>
  <c r="AH213" i="1"/>
  <c r="AE213" i="1"/>
  <c r="AJ213" i="1" s="1"/>
  <c r="AK213" i="1" s="1"/>
  <c r="AB213" i="1"/>
  <c r="Z213" i="1"/>
  <c r="S213" i="1"/>
  <c r="Q213" i="1"/>
  <c r="P213" i="1"/>
  <c r="J213" i="1"/>
  <c r="R213" i="1" s="1"/>
  <c r="BM212" i="1"/>
  <c r="BF212" i="1"/>
  <c r="BA212" i="1"/>
  <c r="AZ212" i="1"/>
  <c r="AY212" i="1"/>
  <c r="AQ212" i="1"/>
  <c r="AP212" i="1"/>
  <c r="AR212" i="1" s="1"/>
  <c r="AH212" i="1"/>
  <c r="AE212" i="1"/>
  <c r="AJ212" i="1" s="1"/>
  <c r="AK212" i="1" s="1"/>
  <c r="Z212" i="1"/>
  <c r="R212" i="1"/>
  <c r="S212" i="1" s="1"/>
  <c r="Q212" i="1"/>
  <c r="P212" i="1"/>
  <c r="J212" i="1"/>
  <c r="BM211" i="1"/>
  <c r="BC211" i="1"/>
  <c r="AZ211" i="1"/>
  <c r="BA211" i="1" s="1"/>
  <c r="AY211" i="1"/>
  <c r="AQ211" i="1"/>
  <c r="AP211" i="1"/>
  <c r="AJ211" i="1"/>
  <c r="AK211" i="1" s="1"/>
  <c r="AH211" i="1"/>
  <c r="AE211" i="1"/>
  <c r="Z211" i="1"/>
  <c r="R211" i="1"/>
  <c r="S211" i="1" s="1"/>
  <c r="Q211" i="1"/>
  <c r="P211" i="1"/>
  <c r="J211" i="1"/>
  <c r="BM210" i="1"/>
  <c r="AZ210" i="1"/>
  <c r="AY210" i="1"/>
  <c r="BA210" i="1" s="1"/>
  <c r="AQ210" i="1"/>
  <c r="AP210" i="1"/>
  <c r="AK210" i="1"/>
  <c r="AJ210" i="1"/>
  <c r="AH210" i="1"/>
  <c r="AE210" i="1"/>
  <c r="AB210" i="1"/>
  <c r="Z210" i="1"/>
  <c r="R210" i="1"/>
  <c r="S210" i="1" s="1"/>
  <c r="Q210" i="1"/>
  <c r="P210" i="1"/>
  <c r="J210" i="1"/>
  <c r="BM209" i="1"/>
  <c r="BI209" i="1"/>
  <c r="BB209" i="1"/>
  <c r="BA209" i="1"/>
  <c r="AZ209" i="1"/>
  <c r="AY209" i="1"/>
  <c r="AR209" i="1"/>
  <c r="AQ209" i="1"/>
  <c r="AP209" i="1"/>
  <c r="AH209" i="1"/>
  <c r="AJ209" i="1" s="1"/>
  <c r="AK209" i="1" s="1"/>
  <c r="AE209" i="1"/>
  <c r="Z209" i="1"/>
  <c r="Q209" i="1"/>
  <c r="P209" i="1"/>
  <c r="J209" i="1"/>
  <c r="R209" i="1" s="1"/>
  <c r="S209" i="1" s="1"/>
  <c r="BM208" i="1"/>
  <c r="BF208" i="1"/>
  <c r="BD208" i="1"/>
  <c r="BC208" i="1"/>
  <c r="BB208" i="1"/>
  <c r="BA208" i="1"/>
  <c r="AZ208" i="1"/>
  <c r="AY208" i="1"/>
  <c r="AU208" i="1"/>
  <c r="AQ208" i="1"/>
  <c r="AR208" i="1" s="1"/>
  <c r="AP208" i="1"/>
  <c r="AK208" i="1"/>
  <c r="AJ208" i="1"/>
  <c r="AH208" i="1"/>
  <c r="AE208" i="1"/>
  <c r="Z208" i="1"/>
  <c r="Q208" i="1"/>
  <c r="R208" i="1" s="1"/>
  <c r="S208" i="1" s="1"/>
  <c r="P208" i="1"/>
  <c r="J208" i="1"/>
  <c r="BM207" i="1"/>
  <c r="AZ207" i="1"/>
  <c r="AY207" i="1"/>
  <c r="BA207" i="1" s="1"/>
  <c r="AR207" i="1"/>
  <c r="AQ207" i="1"/>
  <c r="AP207" i="1"/>
  <c r="AJ207" i="1"/>
  <c r="AK207" i="1" s="1"/>
  <c r="AL207" i="1" s="1"/>
  <c r="AH207" i="1"/>
  <c r="AE207" i="1"/>
  <c r="AB207" i="1"/>
  <c r="Z207" i="1"/>
  <c r="Q207" i="1"/>
  <c r="P207" i="1"/>
  <c r="J207" i="1"/>
  <c r="BM206" i="1"/>
  <c r="AZ206" i="1"/>
  <c r="AY206" i="1"/>
  <c r="AQ206" i="1"/>
  <c r="AP206" i="1"/>
  <c r="AR206" i="1" s="1"/>
  <c r="AH206" i="1"/>
  <c r="AE206" i="1"/>
  <c r="AJ206" i="1" s="1"/>
  <c r="AK206" i="1" s="1"/>
  <c r="Z206" i="1"/>
  <c r="S206" i="1"/>
  <c r="Q206" i="1"/>
  <c r="P206" i="1"/>
  <c r="J206" i="1"/>
  <c r="R206" i="1" s="1"/>
  <c r="BM205" i="1"/>
  <c r="AZ205" i="1"/>
  <c r="AY205" i="1"/>
  <c r="AU205" i="1"/>
  <c r="AT205" i="1"/>
  <c r="AS205" i="1"/>
  <c r="AQ205" i="1"/>
  <c r="AP205" i="1"/>
  <c r="AR205" i="1" s="1"/>
  <c r="AK205" i="1"/>
  <c r="AJ205" i="1"/>
  <c r="AI205" i="1"/>
  <c r="AH205" i="1"/>
  <c r="AE205" i="1"/>
  <c r="AA205" i="1"/>
  <c r="Z205" i="1"/>
  <c r="S205" i="1"/>
  <c r="Q205" i="1"/>
  <c r="R205" i="1" s="1"/>
  <c r="P205" i="1"/>
  <c r="J205" i="1"/>
  <c r="BM204" i="1"/>
  <c r="BB204" i="1"/>
  <c r="BA204" i="1"/>
  <c r="AZ204" i="1"/>
  <c r="AY204" i="1"/>
  <c r="AQ204" i="1"/>
  <c r="AP204" i="1"/>
  <c r="AR204" i="1" s="1"/>
  <c r="AJ204" i="1"/>
  <c r="AK204" i="1" s="1"/>
  <c r="AI204" i="1"/>
  <c r="AH204" i="1"/>
  <c r="AE204" i="1"/>
  <c r="AA204" i="1"/>
  <c r="Z204" i="1"/>
  <c r="Q204" i="1"/>
  <c r="P204" i="1"/>
  <c r="J204" i="1"/>
  <c r="BM203" i="1"/>
  <c r="AZ203" i="1"/>
  <c r="AY203" i="1"/>
  <c r="AU203" i="1"/>
  <c r="AT203" i="1"/>
  <c r="AS203" i="1"/>
  <c r="AQ203" i="1"/>
  <c r="AP203" i="1"/>
  <c r="AR203" i="1" s="1"/>
  <c r="AL203" i="1"/>
  <c r="AK203" i="1"/>
  <c r="AH203" i="1"/>
  <c r="AE203" i="1"/>
  <c r="AJ203" i="1" s="1"/>
  <c r="Z203" i="1"/>
  <c r="AB203" i="1" s="1"/>
  <c r="S203" i="1"/>
  <c r="Q203" i="1"/>
  <c r="R203" i="1" s="1"/>
  <c r="P203" i="1"/>
  <c r="J203" i="1"/>
  <c r="BM202" i="1"/>
  <c r="BB202" i="1"/>
  <c r="AZ202" i="1"/>
  <c r="AY202" i="1"/>
  <c r="BA202" i="1" s="1"/>
  <c r="BD202" i="1" s="1"/>
  <c r="AR202" i="1"/>
  <c r="AQ202" i="1"/>
  <c r="AP202" i="1"/>
  <c r="AH202" i="1"/>
  <c r="AE202" i="1"/>
  <c r="AB202" i="1"/>
  <c r="Z202" i="1"/>
  <c r="Q202" i="1"/>
  <c r="P202" i="1"/>
  <c r="J202" i="1"/>
  <c r="R202" i="1" s="1"/>
  <c r="S202" i="1" s="1"/>
  <c r="BM201" i="1"/>
  <c r="AZ201" i="1"/>
  <c r="BA201" i="1" s="1"/>
  <c r="AY201" i="1"/>
  <c r="AT201" i="1"/>
  <c r="AQ201" i="1"/>
  <c r="AP201" i="1"/>
  <c r="AR201" i="1" s="1"/>
  <c r="AH201" i="1"/>
  <c r="AE201" i="1"/>
  <c r="AB201" i="1"/>
  <c r="Z201" i="1"/>
  <c r="Q201" i="1"/>
  <c r="P201" i="1"/>
  <c r="J201" i="1"/>
  <c r="BM200" i="1"/>
  <c r="BI200" i="1"/>
  <c r="BF200" i="1"/>
  <c r="BD200" i="1"/>
  <c r="BC200" i="1"/>
  <c r="AZ200" i="1"/>
  <c r="AY200" i="1"/>
  <c r="BA200" i="1" s="1"/>
  <c r="BB200" i="1" s="1"/>
  <c r="AT200" i="1"/>
  <c r="BH200" i="1" s="1"/>
  <c r="AS200" i="1"/>
  <c r="AQ200" i="1"/>
  <c r="AR200" i="1" s="1"/>
  <c r="AP200" i="1"/>
  <c r="AI200" i="1"/>
  <c r="AH200" i="1"/>
  <c r="AJ200" i="1" s="1"/>
  <c r="AE200" i="1"/>
  <c r="AA200" i="1"/>
  <c r="AB200" i="1" s="1"/>
  <c r="Q200" i="1"/>
  <c r="R200" i="1" s="1"/>
  <c r="P200" i="1"/>
  <c r="J200" i="1"/>
  <c r="BM199" i="1"/>
  <c r="BF199" i="1"/>
  <c r="AZ199" i="1"/>
  <c r="BA199" i="1" s="1"/>
  <c r="AY199" i="1"/>
  <c r="AQ199" i="1"/>
  <c r="AR199" i="1" s="1"/>
  <c r="AP199" i="1"/>
  <c r="AK199" i="1"/>
  <c r="AL199" i="1" s="1"/>
  <c r="AJ199" i="1"/>
  <c r="AH199" i="1"/>
  <c r="AE199" i="1"/>
  <c r="AB199" i="1"/>
  <c r="Z199" i="1"/>
  <c r="Q199" i="1"/>
  <c r="P199" i="1"/>
  <c r="J199" i="1"/>
  <c r="BM198" i="1"/>
  <c r="AZ198" i="1"/>
  <c r="AY198" i="1"/>
  <c r="AQ198" i="1"/>
  <c r="AP198" i="1"/>
  <c r="AK198" i="1"/>
  <c r="AL198" i="1" s="1"/>
  <c r="AH198" i="1"/>
  <c r="AJ198" i="1" s="1"/>
  <c r="AE198" i="1"/>
  <c r="AB198" i="1"/>
  <c r="Z198" i="1"/>
  <c r="S198" i="1"/>
  <c r="R198" i="1"/>
  <c r="Q198" i="1"/>
  <c r="P198" i="1"/>
  <c r="J198" i="1"/>
  <c r="BM197" i="1"/>
  <c r="BF197" i="1"/>
  <c r="BD197" i="1"/>
  <c r="BC197" i="1"/>
  <c r="AZ197" i="1"/>
  <c r="BA197" i="1" s="1"/>
  <c r="BB197" i="1" s="1"/>
  <c r="AY197" i="1"/>
  <c r="AR197" i="1"/>
  <c r="AQ197" i="1"/>
  <c r="AP197" i="1"/>
  <c r="AJ197" i="1"/>
  <c r="AI197" i="1"/>
  <c r="AH197" i="1"/>
  <c r="AE197" i="1"/>
  <c r="AA197" i="1"/>
  <c r="AB197" i="1" s="1"/>
  <c r="Z197" i="1"/>
  <c r="Q197" i="1"/>
  <c r="P197" i="1"/>
  <c r="J197" i="1"/>
  <c r="R197" i="1" s="1"/>
  <c r="S197" i="1" s="1"/>
  <c r="BM196" i="1"/>
  <c r="BA196" i="1"/>
  <c r="AZ196" i="1"/>
  <c r="AY196" i="1"/>
  <c r="AQ196" i="1"/>
  <c r="AP196" i="1"/>
  <c r="AI196" i="1"/>
  <c r="AH196" i="1"/>
  <c r="AE196" i="1"/>
  <c r="AJ196" i="1" s="1"/>
  <c r="AK196" i="1" s="1"/>
  <c r="AL196" i="1" s="1"/>
  <c r="AA196" i="1"/>
  <c r="AB196" i="1" s="1"/>
  <c r="Z196" i="1"/>
  <c r="Q196" i="1"/>
  <c r="P196" i="1"/>
  <c r="J196" i="1"/>
  <c r="R196" i="1" s="1"/>
  <c r="S196" i="1" s="1"/>
  <c r="BM195" i="1"/>
  <c r="BF195" i="1"/>
  <c r="BB195" i="1"/>
  <c r="AZ195" i="1"/>
  <c r="BA195" i="1" s="1"/>
  <c r="AY195" i="1"/>
  <c r="AQ195" i="1"/>
  <c r="AR195" i="1" s="1"/>
  <c r="AP195" i="1"/>
  <c r="AH195" i="1"/>
  <c r="AE195" i="1"/>
  <c r="AJ195" i="1" s="1"/>
  <c r="AK195" i="1" s="1"/>
  <c r="AB195" i="1"/>
  <c r="Z195" i="1"/>
  <c r="S195" i="1"/>
  <c r="Q195" i="1"/>
  <c r="P195" i="1"/>
  <c r="J195" i="1"/>
  <c r="R195" i="1" s="1"/>
  <c r="BM194" i="1"/>
  <c r="BF194" i="1"/>
  <c r="BB194" i="1"/>
  <c r="AZ194" i="1"/>
  <c r="AY194" i="1"/>
  <c r="BA194" i="1" s="1"/>
  <c r="AQ194" i="1"/>
  <c r="AP194" i="1"/>
  <c r="AR194" i="1" s="1"/>
  <c r="AI194" i="1"/>
  <c r="AH194" i="1"/>
  <c r="AE194" i="1"/>
  <c r="AJ194" i="1" s="1"/>
  <c r="AK194" i="1" s="1"/>
  <c r="AL194" i="1" s="1"/>
  <c r="AB194" i="1"/>
  <c r="AA194" i="1"/>
  <c r="Z194" i="1"/>
  <c r="R194" i="1"/>
  <c r="S194" i="1" s="1"/>
  <c r="Q194" i="1"/>
  <c r="P194" i="1"/>
  <c r="J194" i="1"/>
  <c r="BM193" i="1"/>
  <c r="BA193" i="1"/>
  <c r="AZ193" i="1"/>
  <c r="AY193" i="1"/>
  <c r="AQ193" i="1"/>
  <c r="AP193" i="1"/>
  <c r="AR193" i="1" s="1"/>
  <c r="AI193" i="1"/>
  <c r="AF193" i="1"/>
  <c r="AH193" i="1" s="1"/>
  <c r="AE193" i="1"/>
  <c r="AJ193" i="1" s="1"/>
  <c r="AK193" i="1" s="1"/>
  <c r="Z193" i="1"/>
  <c r="X193" i="1"/>
  <c r="W193" i="1"/>
  <c r="BM192" i="1"/>
  <c r="AZ192" i="1"/>
  <c r="AY192" i="1"/>
  <c r="BA192" i="1" s="1"/>
  <c r="AS192" i="1"/>
  <c r="AR192" i="1"/>
  <c r="AQ192" i="1"/>
  <c r="AP192" i="1"/>
  <c r="AI192" i="1"/>
  <c r="AH192" i="1"/>
  <c r="AE192" i="1"/>
  <c r="AJ192" i="1" s="1"/>
  <c r="AK192" i="1" s="1"/>
  <c r="AA192" i="1"/>
  <c r="Z192" i="1"/>
  <c r="X192" i="1"/>
  <c r="W192" i="1"/>
  <c r="S192" i="1"/>
  <c r="J192" i="1"/>
  <c r="R192" i="1" s="1"/>
  <c r="BM191" i="1"/>
  <c r="BA191" i="1"/>
  <c r="AZ191" i="1"/>
  <c r="AY191" i="1"/>
  <c r="AQ191" i="1"/>
  <c r="AR191" i="1" s="1"/>
  <c r="AP191" i="1"/>
  <c r="AJ191" i="1"/>
  <c r="AK191" i="1" s="1"/>
  <c r="AL191" i="1" s="1"/>
  <c r="AI191" i="1"/>
  <c r="AH191" i="1"/>
  <c r="AE191" i="1"/>
  <c r="AB191" i="1"/>
  <c r="Z191" i="1"/>
  <c r="S191" i="1"/>
  <c r="R191" i="1"/>
  <c r="Q191" i="1"/>
  <c r="P191" i="1"/>
  <c r="J191" i="1"/>
  <c r="BM190" i="1"/>
  <c r="AZ190" i="1"/>
  <c r="AY190" i="1"/>
  <c r="BA190" i="1" s="1"/>
  <c r="AU190" i="1"/>
  <c r="AT190" i="1"/>
  <c r="AQ190" i="1"/>
  <c r="AR190" i="1" s="1"/>
  <c r="AS190" i="1" s="1"/>
  <c r="AP190" i="1"/>
  <c r="AL190" i="1"/>
  <c r="AJ190" i="1"/>
  <c r="AK190" i="1" s="1"/>
  <c r="AH190" i="1"/>
  <c r="AE190" i="1"/>
  <c r="AB190" i="1"/>
  <c r="Z190" i="1"/>
  <c r="R190" i="1"/>
  <c r="S190" i="1" s="1"/>
  <c r="J190" i="1"/>
  <c r="BM189" i="1"/>
  <c r="BD189" i="1"/>
  <c r="BB189" i="1"/>
  <c r="BA189" i="1"/>
  <c r="AZ189" i="1"/>
  <c r="AY189" i="1"/>
  <c r="AU189" i="1"/>
  <c r="AT189" i="1"/>
  <c r="AR189" i="1"/>
  <c r="AQ189" i="1"/>
  <c r="AP189" i="1"/>
  <c r="AH189" i="1"/>
  <c r="AJ189" i="1" s="1"/>
  <c r="AK189" i="1" s="1"/>
  <c r="AE189" i="1"/>
  <c r="Z189" i="1"/>
  <c r="AB189" i="1" s="1"/>
  <c r="R189" i="1"/>
  <c r="S189" i="1" s="1"/>
  <c r="Q189" i="1"/>
  <c r="J189" i="1"/>
  <c r="BM188" i="1"/>
  <c r="BF188" i="1"/>
  <c r="BC188" i="1"/>
  <c r="BB188" i="1"/>
  <c r="AZ188" i="1"/>
  <c r="AY188" i="1"/>
  <c r="BA188" i="1" s="1"/>
  <c r="BD188" i="1" s="1"/>
  <c r="AT188" i="1"/>
  <c r="BH188" i="1" s="1"/>
  <c r="AR188" i="1"/>
  <c r="AQ188" i="1"/>
  <c r="AP188" i="1"/>
  <c r="AH188" i="1"/>
  <c r="AE188" i="1"/>
  <c r="AJ188" i="1" s="1"/>
  <c r="AK188" i="1" s="1"/>
  <c r="AL188" i="1" s="1"/>
  <c r="AB188" i="1"/>
  <c r="Z188" i="1"/>
  <c r="P188" i="1"/>
  <c r="J188" i="1"/>
  <c r="R188" i="1" s="1"/>
  <c r="S188" i="1" s="1"/>
  <c r="BM187" i="1"/>
  <c r="BD187" i="1"/>
  <c r="BC187" i="1"/>
  <c r="BA187" i="1"/>
  <c r="AZ187" i="1"/>
  <c r="AY187" i="1"/>
  <c r="AR187" i="1"/>
  <c r="AQ187" i="1"/>
  <c r="AP187" i="1"/>
  <c r="AK187" i="1"/>
  <c r="AH187" i="1"/>
  <c r="AJ187" i="1" s="1"/>
  <c r="AE187" i="1"/>
  <c r="AB187" i="1"/>
  <c r="Z187" i="1"/>
  <c r="Q187" i="1"/>
  <c r="R187" i="1" s="1"/>
  <c r="S187" i="1" s="1"/>
  <c r="J187" i="1"/>
  <c r="BM186" i="1"/>
  <c r="AZ186" i="1"/>
  <c r="BA186" i="1" s="1"/>
  <c r="AY186" i="1"/>
  <c r="AT186" i="1"/>
  <c r="AS186" i="1"/>
  <c r="AR186" i="1"/>
  <c r="AQ186" i="1"/>
  <c r="AP186" i="1"/>
  <c r="AH186" i="1"/>
  <c r="AE186" i="1"/>
  <c r="AJ186" i="1" s="1"/>
  <c r="AK186" i="1" s="1"/>
  <c r="AL186" i="1" s="1"/>
  <c r="AB186" i="1"/>
  <c r="R186" i="1"/>
  <c r="S186" i="1" s="1"/>
  <c r="Q186" i="1"/>
  <c r="P186" i="1"/>
  <c r="J186" i="1"/>
  <c r="BM185" i="1"/>
  <c r="AZ185" i="1"/>
  <c r="AY185" i="1"/>
  <c r="AR185" i="1"/>
  <c r="AQ185" i="1"/>
  <c r="AP185" i="1"/>
  <c r="AH185" i="1"/>
  <c r="AE185" i="1"/>
  <c r="Z185" i="1"/>
  <c r="Q185" i="1"/>
  <c r="P185" i="1"/>
  <c r="J185" i="1"/>
  <c r="BM184" i="1"/>
  <c r="BF184" i="1"/>
  <c r="AZ184" i="1"/>
  <c r="BA184" i="1" s="1"/>
  <c r="AY184" i="1"/>
  <c r="AQ184" i="1"/>
  <c r="AP184" i="1"/>
  <c r="AL184" i="1"/>
  <c r="AK184" i="1"/>
  <c r="AH184" i="1"/>
  <c r="AE184" i="1"/>
  <c r="AJ184" i="1" s="1"/>
  <c r="Z184" i="1"/>
  <c r="AB184" i="1" s="1"/>
  <c r="Q184" i="1"/>
  <c r="R184" i="1" s="1"/>
  <c r="S184" i="1" s="1"/>
  <c r="P184" i="1"/>
  <c r="J184" i="1"/>
  <c r="BM183" i="1"/>
  <c r="BB183" i="1"/>
  <c r="AZ183" i="1"/>
  <c r="BA183" i="1" s="1"/>
  <c r="AY183" i="1"/>
  <c r="AQ183" i="1"/>
  <c r="AP183" i="1"/>
  <c r="AR183" i="1" s="1"/>
  <c r="AK183" i="1"/>
  <c r="AH183" i="1"/>
  <c r="AE183" i="1"/>
  <c r="AJ183" i="1" s="1"/>
  <c r="AB183" i="1"/>
  <c r="Z183" i="1"/>
  <c r="AL183" i="1" s="1"/>
  <c r="R183" i="1"/>
  <c r="S183" i="1" s="1"/>
  <c r="Q183" i="1"/>
  <c r="P183" i="1"/>
  <c r="J183" i="1"/>
  <c r="BM182" i="1"/>
  <c r="AZ182" i="1"/>
  <c r="AY182" i="1"/>
  <c r="AQ182" i="1"/>
  <c r="AP182" i="1"/>
  <c r="AR182" i="1" s="1"/>
  <c r="AL182" i="1"/>
  <c r="AH182" i="1"/>
  <c r="AE182" i="1"/>
  <c r="AJ182" i="1" s="1"/>
  <c r="AK182" i="1" s="1"/>
  <c r="AB182" i="1"/>
  <c r="Q182" i="1"/>
  <c r="P182" i="1"/>
  <c r="J182" i="1"/>
  <c r="BM181" i="1"/>
  <c r="BB181" i="1"/>
  <c r="AZ181" i="1"/>
  <c r="BA181" i="1" s="1"/>
  <c r="AY181" i="1"/>
  <c r="AQ181" i="1"/>
  <c r="AP181" i="1"/>
  <c r="AR181" i="1" s="1"/>
  <c r="AH181" i="1"/>
  <c r="AE181" i="1"/>
  <c r="AJ181" i="1" s="1"/>
  <c r="AK181" i="1" s="1"/>
  <c r="Z181" i="1"/>
  <c r="S181" i="1"/>
  <c r="R181" i="1"/>
  <c r="Q181" i="1"/>
  <c r="P181" i="1"/>
  <c r="J181" i="1"/>
  <c r="BM180" i="1"/>
  <c r="AZ180" i="1"/>
  <c r="AY180" i="1"/>
  <c r="AR180" i="1"/>
  <c r="AQ180" i="1"/>
  <c r="AP180" i="1"/>
  <c r="AH180" i="1"/>
  <c r="AE180" i="1"/>
  <c r="AJ180" i="1" s="1"/>
  <c r="AK180" i="1" s="1"/>
  <c r="AB180" i="1"/>
  <c r="Z180" i="1"/>
  <c r="Q180" i="1"/>
  <c r="P180" i="1"/>
  <c r="J180" i="1"/>
  <c r="R180" i="1" s="1"/>
  <c r="S180" i="1" s="1"/>
  <c r="BM179" i="1"/>
  <c r="AZ179" i="1"/>
  <c r="AY179" i="1"/>
  <c r="BA179" i="1" s="1"/>
  <c r="AQ179" i="1"/>
  <c r="AR179" i="1" s="1"/>
  <c r="AP179" i="1"/>
  <c r="AH179" i="1"/>
  <c r="AE179" i="1"/>
  <c r="AJ179" i="1" s="1"/>
  <c r="AK179" i="1" s="1"/>
  <c r="AB179" i="1"/>
  <c r="Z179" i="1"/>
  <c r="R179" i="1"/>
  <c r="S179" i="1" s="1"/>
  <c r="Q179" i="1"/>
  <c r="P179" i="1"/>
  <c r="J179" i="1"/>
  <c r="BM178" i="1"/>
  <c r="AZ178" i="1"/>
  <c r="AY178" i="1"/>
  <c r="BA178" i="1" s="1"/>
  <c r="AT178" i="1"/>
  <c r="AQ178" i="1"/>
  <c r="AR178" i="1" s="1"/>
  <c r="AP178" i="1"/>
  <c r="AI178" i="1"/>
  <c r="AH178" i="1"/>
  <c r="AE178" i="1"/>
  <c r="AJ178" i="1" s="1"/>
  <c r="AK178" i="1" s="1"/>
  <c r="AL178" i="1" s="1"/>
  <c r="AA178" i="1"/>
  <c r="AB178" i="1" s="1"/>
  <c r="Z178" i="1"/>
  <c r="Q178" i="1"/>
  <c r="P178" i="1"/>
  <c r="J178" i="1"/>
  <c r="BM177" i="1"/>
  <c r="AZ177" i="1"/>
  <c r="AY177" i="1"/>
  <c r="AQ177" i="1"/>
  <c r="AP177" i="1"/>
  <c r="AI177" i="1"/>
  <c r="AH177" i="1"/>
  <c r="AE177" i="1"/>
  <c r="AJ177" i="1" s="1"/>
  <c r="AA177" i="1"/>
  <c r="AB177" i="1" s="1"/>
  <c r="Z177" i="1"/>
  <c r="R177" i="1"/>
  <c r="S177" i="1" s="1"/>
  <c r="Q177" i="1"/>
  <c r="P177" i="1"/>
  <c r="J177" i="1"/>
  <c r="BM176" i="1"/>
  <c r="BD176" i="1"/>
  <c r="BA176" i="1"/>
  <c r="AZ176" i="1"/>
  <c r="AY176" i="1"/>
  <c r="AR176" i="1"/>
  <c r="AQ176" i="1"/>
  <c r="AP176" i="1"/>
  <c r="AK176" i="1"/>
  <c r="AL176" i="1" s="1"/>
  <c r="AH176" i="1"/>
  <c r="AJ176" i="1" s="1"/>
  <c r="AE176" i="1"/>
  <c r="AB176" i="1"/>
  <c r="Z176" i="1"/>
  <c r="R176" i="1"/>
  <c r="S176" i="1" s="1"/>
  <c r="Q176" i="1"/>
  <c r="P176" i="1"/>
  <c r="J176" i="1"/>
  <c r="BM175" i="1"/>
  <c r="BI175" i="1"/>
  <c r="BF175" i="1"/>
  <c r="BD175" i="1"/>
  <c r="BC175" i="1"/>
  <c r="BB175" i="1"/>
  <c r="AZ175" i="1"/>
  <c r="BA175" i="1" s="1"/>
  <c r="AY175" i="1"/>
  <c r="AU175" i="1"/>
  <c r="AT175" i="1"/>
  <c r="AS175" i="1"/>
  <c r="AQ175" i="1"/>
  <c r="AR175" i="1" s="1"/>
  <c r="AP175" i="1"/>
  <c r="AK175" i="1"/>
  <c r="AH175" i="1"/>
  <c r="AJ175" i="1" s="1"/>
  <c r="AE175" i="1"/>
  <c r="Z175" i="1"/>
  <c r="AB175" i="1" s="1"/>
  <c r="Q175" i="1"/>
  <c r="R175" i="1" s="1"/>
  <c r="P175" i="1"/>
  <c r="J175" i="1"/>
  <c r="BM174" i="1"/>
  <c r="AZ174" i="1"/>
  <c r="AY174" i="1"/>
  <c r="BA174" i="1" s="1"/>
  <c r="AQ174" i="1"/>
  <c r="AR174" i="1" s="1"/>
  <c r="AP174" i="1"/>
  <c r="AH174" i="1"/>
  <c r="AE174" i="1"/>
  <c r="AB174" i="1"/>
  <c r="Z174" i="1"/>
  <c r="Q174" i="1"/>
  <c r="P174" i="1"/>
  <c r="J174" i="1"/>
  <c r="BM173" i="1"/>
  <c r="AZ173" i="1"/>
  <c r="AY173" i="1"/>
  <c r="BA173" i="1" s="1"/>
  <c r="AQ173" i="1"/>
  <c r="AP173" i="1"/>
  <c r="AR173" i="1" s="1"/>
  <c r="AH173" i="1"/>
  <c r="AE173" i="1"/>
  <c r="AJ173" i="1" s="1"/>
  <c r="AK173" i="1" s="1"/>
  <c r="AB173" i="1"/>
  <c r="Z173" i="1"/>
  <c r="S173" i="1"/>
  <c r="Q173" i="1"/>
  <c r="P173" i="1"/>
  <c r="J173" i="1"/>
  <c r="R173" i="1" s="1"/>
  <c r="BM172" i="1"/>
  <c r="BD172" i="1"/>
  <c r="BA172" i="1"/>
  <c r="AZ172" i="1"/>
  <c r="AY172" i="1"/>
  <c r="AR172" i="1"/>
  <c r="AQ172" i="1"/>
  <c r="AP172" i="1"/>
  <c r="AH172" i="1"/>
  <c r="AE172" i="1"/>
  <c r="AJ172" i="1" s="1"/>
  <c r="AK172" i="1" s="1"/>
  <c r="AL172" i="1" s="1"/>
  <c r="AB172" i="1"/>
  <c r="Z172" i="1"/>
  <c r="Q172" i="1"/>
  <c r="R172" i="1" s="1"/>
  <c r="S172" i="1" s="1"/>
  <c r="P172" i="1"/>
  <c r="J172" i="1"/>
  <c r="BM171" i="1"/>
  <c r="BA171" i="1"/>
  <c r="AZ171" i="1"/>
  <c r="AY171" i="1"/>
  <c r="AQ171" i="1"/>
  <c r="AP171" i="1"/>
  <c r="AL171" i="1"/>
  <c r="AI171" i="1"/>
  <c r="AH171" i="1"/>
  <c r="AE171" i="1"/>
  <c r="AJ171" i="1" s="1"/>
  <c r="AK171" i="1" s="1"/>
  <c r="AB171" i="1"/>
  <c r="AA171" i="1"/>
  <c r="Z171" i="1"/>
  <c r="S171" i="1"/>
  <c r="R171" i="1"/>
  <c r="Q171" i="1"/>
  <c r="P171" i="1"/>
  <c r="J171" i="1"/>
  <c r="BM170" i="1"/>
  <c r="AZ170" i="1"/>
  <c r="BA170" i="1" s="1"/>
  <c r="AY170" i="1"/>
  <c r="AQ170" i="1"/>
  <c r="AP170" i="1"/>
  <c r="AR170" i="1" s="1"/>
  <c r="AK170" i="1"/>
  <c r="AI170" i="1"/>
  <c r="AH170" i="1"/>
  <c r="AE170" i="1"/>
  <c r="AJ170" i="1" s="1"/>
  <c r="AB170" i="1"/>
  <c r="AA170" i="1"/>
  <c r="Z170" i="1"/>
  <c r="Q170" i="1"/>
  <c r="P170" i="1"/>
  <c r="J170" i="1"/>
  <c r="R170" i="1" s="1"/>
  <c r="S170" i="1" s="1"/>
  <c r="BM169" i="1"/>
  <c r="BD169" i="1"/>
  <c r="BC169" i="1"/>
  <c r="AZ169" i="1"/>
  <c r="AY169" i="1"/>
  <c r="BA169" i="1" s="1"/>
  <c r="BB169" i="1" s="1"/>
  <c r="AQ169" i="1"/>
  <c r="AP169" i="1"/>
  <c r="AH169" i="1"/>
  <c r="AJ169" i="1" s="1"/>
  <c r="AK169" i="1" s="1"/>
  <c r="AL169" i="1" s="1"/>
  <c r="AE169" i="1"/>
  <c r="Z169" i="1"/>
  <c r="AB169" i="1" s="1"/>
  <c r="Q169" i="1"/>
  <c r="R169" i="1" s="1"/>
  <c r="S169" i="1" s="1"/>
  <c r="P169" i="1"/>
  <c r="J169" i="1"/>
  <c r="BM168" i="1"/>
  <c r="AZ168" i="1"/>
  <c r="AY168" i="1"/>
  <c r="BA168" i="1" s="1"/>
  <c r="AQ168" i="1"/>
  <c r="AP168" i="1"/>
  <c r="AR168" i="1" s="1"/>
  <c r="AH168" i="1"/>
  <c r="AE168" i="1"/>
  <c r="AJ168" i="1" s="1"/>
  <c r="AK168" i="1" s="1"/>
  <c r="AL168" i="1" s="1"/>
  <c r="Z168" i="1"/>
  <c r="AB168" i="1" s="1"/>
  <c r="R168" i="1"/>
  <c r="S168" i="1" s="1"/>
  <c r="Q168" i="1"/>
  <c r="P168" i="1"/>
  <c r="J168" i="1"/>
  <c r="BM167" i="1"/>
  <c r="BD167" i="1"/>
  <c r="BC167" i="1"/>
  <c r="BB167" i="1"/>
  <c r="AZ167" i="1"/>
  <c r="BA167" i="1" s="1"/>
  <c r="BF167" i="1" s="1"/>
  <c r="AY167" i="1"/>
  <c r="AQ167" i="1"/>
  <c r="AP167" i="1"/>
  <c r="AJ167" i="1"/>
  <c r="AK167" i="1" s="1"/>
  <c r="AL167" i="1" s="1"/>
  <c r="AH167" i="1"/>
  <c r="AE167" i="1"/>
  <c r="AB167" i="1"/>
  <c r="R167" i="1"/>
  <c r="S167" i="1" s="1"/>
  <c r="Q167" i="1"/>
  <c r="P167" i="1"/>
  <c r="J167" i="1"/>
  <c r="BM166" i="1"/>
  <c r="AZ166" i="1"/>
  <c r="BA166" i="1" s="1"/>
  <c r="AY166" i="1"/>
  <c r="AU166" i="1"/>
  <c r="AT166" i="1"/>
  <c r="AQ166" i="1"/>
  <c r="AP166" i="1"/>
  <c r="AR166" i="1" s="1"/>
  <c r="AH166" i="1"/>
  <c r="AE166" i="1"/>
  <c r="AJ166" i="1" s="1"/>
  <c r="AK166" i="1" s="1"/>
  <c r="Z166" i="1"/>
  <c r="R166" i="1"/>
  <c r="S166" i="1" s="1"/>
  <c r="Q166" i="1"/>
  <c r="P166" i="1"/>
  <c r="J166" i="1"/>
  <c r="BM165" i="1"/>
  <c r="AZ165" i="1"/>
  <c r="AY165" i="1"/>
  <c r="BA165" i="1" s="1"/>
  <c r="AQ165" i="1"/>
  <c r="AP165" i="1"/>
  <c r="AR165" i="1" s="1"/>
  <c r="AI165" i="1"/>
  <c r="AH165" i="1"/>
  <c r="AE165" i="1"/>
  <c r="Z165" i="1"/>
  <c r="Q165" i="1"/>
  <c r="P165" i="1"/>
  <c r="J165" i="1"/>
  <c r="BM164" i="1"/>
  <c r="AZ164" i="1"/>
  <c r="AY164" i="1"/>
  <c r="BA164" i="1" s="1"/>
  <c r="AU164" i="1"/>
  <c r="AQ164" i="1"/>
  <c r="AP164" i="1"/>
  <c r="AR164" i="1" s="1"/>
  <c r="AJ164" i="1"/>
  <c r="AI164" i="1"/>
  <c r="AH164" i="1"/>
  <c r="AE164" i="1"/>
  <c r="AA164" i="1"/>
  <c r="AB164" i="1" s="1"/>
  <c r="Z164" i="1"/>
  <c r="Q164" i="1"/>
  <c r="P164" i="1"/>
  <c r="J164" i="1"/>
  <c r="BM163" i="1"/>
  <c r="AZ163" i="1"/>
  <c r="AY163" i="1"/>
  <c r="AQ163" i="1"/>
  <c r="AR163" i="1" s="1"/>
  <c r="AP163" i="1"/>
  <c r="AJ163" i="1"/>
  <c r="AK163" i="1" s="1"/>
  <c r="AI163" i="1"/>
  <c r="AH163" i="1"/>
  <c r="AE163" i="1"/>
  <c r="AA163" i="1"/>
  <c r="Z163" i="1"/>
  <c r="R163" i="1"/>
  <c r="S163" i="1" s="1"/>
  <c r="Q163" i="1"/>
  <c r="P163" i="1"/>
  <c r="J163" i="1"/>
  <c r="BM162" i="1"/>
  <c r="AZ162" i="1"/>
  <c r="AY162" i="1"/>
  <c r="BA162" i="1" s="1"/>
  <c r="AQ162" i="1"/>
  <c r="AR162" i="1" s="1"/>
  <c r="AP162" i="1"/>
  <c r="AJ162" i="1"/>
  <c r="AK162" i="1" s="1"/>
  <c r="AL162" i="1" s="1"/>
  <c r="AI162" i="1"/>
  <c r="AH162" i="1"/>
  <c r="AE162" i="1"/>
  <c r="AB162" i="1"/>
  <c r="AA162" i="1"/>
  <c r="Z162" i="1"/>
  <c r="Q162" i="1"/>
  <c r="P162" i="1"/>
  <c r="J162" i="1"/>
  <c r="BM161" i="1"/>
  <c r="BD161" i="1"/>
  <c r="AZ161" i="1"/>
  <c r="AY161" i="1"/>
  <c r="BA161" i="1" s="1"/>
  <c r="BF161" i="1" s="1"/>
  <c r="AQ161" i="1"/>
  <c r="AR161" i="1" s="1"/>
  <c r="AP161" i="1"/>
  <c r="AI161" i="1"/>
  <c r="AH161" i="1"/>
  <c r="AE161" i="1"/>
  <c r="AJ161" i="1" s="1"/>
  <c r="AB161" i="1"/>
  <c r="AA161" i="1"/>
  <c r="AK161" i="1" s="1"/>
  <c r="AL161" i="1" s="1"/>
  <c r="Z161" i="1"/>
  <c r="Q161" i="1"/>
  <c r="P161" i="1"/>
  <c r="J161" i="1"/>
  <c r="BM160" i="1"/>
  <c r="BA160" i="1"/>
  <c r="AZ160" i="1"/>
  <c r="AY160" i="1"/>
  <c r="AU160" i="1"/>
  <c r="AT160" i="1"/>
  <c r="AR160" i="1"/>
  <c r="AQ160" i="1"/>
  <c r="AP160" i="1"/>
  <c r="AI160" i="1"/>
  <c r="AH160" i="1"/>
  <c r="AJ160" i="1" s="1"/>
  <c r="AK160" i="1" s="1"/>
  <c r="AL160" i="1" s="1"/>
  <c r="AE160" i="1"/>
  <c r="AB160" i="1"/>
  <c r="Z160" i="1"/>
  <c r="S160" i="1"/>
  <c r="R160" i="1"/>
  <c r="Q160" i="1"/>
  <c r="P160" i="1"/>
  <c r="J160" i="1"/>
  <c r="BM159" i="1"/>
  <c r="AZ159" i="1"/>
  <c r="AY159" i="1"/>
  <c r="BA159" i="1" s="1"/>
  <c r="AQ159" i="1"/>
  <c r="AR159" i="1" s="1"/>
  <c r="AP159" i="1"/>
  <c r="AI159" i="1"/>
  <c r="AH159" i="1"/>
  <c r="AE159" i="1"/>
  <c r="AJ159" i="1" s="1"/>
  <c r="AK159" i="1" s="1"/>
  <c r="AA159" i="1"/>
  <c r="Z159" i="1"/>
  <c r="X159" i="1"/>
  <c r="W159" i="1"/>
  <c r="Q159" i="1"/>
  <c r="P159" i="1"/>
  <c r="J159" i="1"/>
  <c r="R159" i="1" s="1"/>
  <c r="S159" i="1" s="1"/>
  <c r="BM158" i="1"/>
  <c r="BB158" i="1"/>
  <c r="AZ158" i="1"/>
  <c r="BA158" i="1" s="1"/>
  <c r="BF158" i="1" s="1"/>
  <c r="AY158" i="1"/>
  <c r="AS158" i="1"/>
  <c r="AR158" i="1"/>
  <c r="AQ158" i="1"/>
  <c r="AP158" i="1"/>
  <c r="AJ158" i="1"/>
  <c r="AK158" i="1" s="1"/>
  <c r="AI158" i="1"/>
  <c r="AH158" i="1"/>
  <c r="AE158" i="1"/>
  <c r="AA158" i="1"/>
  <c r="Z158" i="1"/>
  <c r="Q158" i="1"/>
  <c r="P158" i="1"/>
  <c r="J158" i="1"/>
  <c r="BM157" i="1"/>
  <c r="AZ157" i="1"/>
  <c r="AY157" i="1"/>
  <c r="AQ157" i="1"/>
  <c r="AP157" i="1"/>
  <c r="AR157" i="1" s="1"/>
  <c r="AH157" i="1"/>
  <c r="AE157" i="1"/>
  <c r="AJ157" i="1" s="1"/>
  <c r="AK157" i="1" s="1"/>
  <c r="AB157" i="1"/>
  <c r="Z157" i="1"/>
  <c r="AL157" i="1" s="1"/>
  <c r="Q157" i="1"/>
  <c r="P157" i="1"/>
  <c r="J157" i="1"/>
  <c r="R157" i="1" s="1"/>
  <c r="S157" i="1" s="1"/>
  <c r="BM156" i="1"/>
  <c r="BB156" i="1"/>
  <c r="BA156" i="1"/>
  <c r="AZ156" i="1"/>
  <c r="AY156" i="1"/>
  <c r="AQ156" i="1"/>
  <c r="AP156" i="1"/>
  <c r="AK156" i="1"/>
  <c r="AL156" i="1" s="1"/>
  <c r="AH156" i="1"/>
  <c r="AE156" i="1"/>
  <c r="AJ156" i="1" s="1"/>
  <c r="AB156" i="1"/>
  <c r="Z156" i="1"/>
  <c r="R156" i="1"/>
  <c r="S156" i="1" s="1"/>
  <c r="Q156" i="1"/>
  <c r="P156" i="1"/>
  <c r="J156" i="1"/>
  <c r="BM155" i="1"/>
  <c r="AZ155" i="1"/>
  <c r="BA155" i="1" s="1"/>
  <c r="AY155" i="1"/>
  <c r="AQ155" i="1"/>
  <c r="AP155" i="1"/>
  <c r="AR155" i="1" s="1"/>
  <c r="AK155" i="1"/>
  <c r="AL155" i="1" s="1"/>
  <c r="AH155" i="1"/>
  <c r="AE155" i="1"/>
  <c r="AJ155" i="1" s="1"/>
  <c r="AB155" i="1"/>
  <c r="Z155" i="1"/>
  <c r="S155" i="1"/>
  <c r="R155" i="1"/>
  <c r="Q155" i="1"/>
  <c r="P155" i="1"/>
  <c r="J155" i="1"/>
  <c r="BM154" i="1"/>
  <c r="BA154" i="1"/>
  <c r="AZ154" i="1"/>
  <c r="AY154" i="1"/>
  <c r="AT154" i="1"/>
  <c r="AS154" i="1"/>
  <c r="AR154" i="1"/>
  <c r="AQ154" i="1"/>
  <c r="AP154" i="1"/>
  <c r="AL154" i="1"/>
  <c r="AH154" i="1"/>
  <c r="AE154" i="1"/>
  <c r="AJ154" i="1" s="1"/>
  <c r="AK154" i="1" s="1"/>
  <c r="AB154" i="1"/>
  <c r="Z154" i="1"/>
  <c r="Q154" i="1"/>
  <c r="R154" i="1" s="1"/>
  <c r="P154" i="1"/>
  <c r="J154" i="1"/>
  <c r="AU154" i="1" s="1"/>
  <c r="BM153" i="1"/>
  <c r="BD153" i="1"/>
  <c r="AZ153" i="1"/>
  <c r="AY153" i="1"/>
  <c r="BA153" i="1" s="1"/>
  <c r="AQ153" i="1"/>
  <c r="AP153" i="1"/>
  <c r="AR153" i="1" s="1"/>
  <c r="AI153" i="1"/>
  <c r="AH153" i="1"/>
  <c r="AJ153" i="1" s="1"/>
  <c r="AE153" i="1"/>
  <c r="AA153" i="1"/>
  <c r="AB153" i="1" s="1"/>
  <c r="Z153" i="1"/>
  <c r="S153" i="1"/>
  <c r="Q153" i="1"/>
  <c r="P153" i="1"/>
  <c r="J153" i="1"/>
  <c r="R153" i="1" s="1"/>
  <c r="BM152" i="1"/>
  <c r="AZ152" i="1"/>
  <c r="AY152" i="1"/>
  <c r="AS152" i="1"/>
  <c r="AQ152" i="1"/>
  <c r="AP152" i="1"/>
  <c r="AR152" i="1" s="1"/>
  <c r="AK152" i="1"/>
  <c r="AL152" i="1" s="1"/>
  <c r="AH152" i="1"/>
  <c r="AE152" i="1"/>
  <c r="AJ152" i="1" s="1"/>
  <c r="AB152" i="1"/>
  <c r="Z152" i="1"/>
  <c r="S152" i="1"/>
  <c r="R152" i="1"/>
  <c r="Q152" i="1"/>
  <c r="P152" i="1"/>
  <c r="J152" i="1"/>
  <c r="BM151" i="1"/>
  <c r="AZ151" i="1"/>
  <c r="AY151" i="1"/>
  <c r="AR151" i="1"/>
  <c r="AQ151" i="1"/>
  <c r="AP151" i="1"/>
  <c r="AH151" i="1"/>
  <c r="AE151" i="1"/>
  <c r="Z151" i="1"/>
  <c r="Q151" i="1"/>
  <c r="P151" i="1"/>
  <c r="J151" i="1"/>
  <c r="BM150" i="1"/>
  <c r="AZ150" i="1"/>
  <c r="AY150" i="1"/>
  <c r="AQ150" i="1"/>
  <c r="AP150" i="1"/>
  <c r="AR150" i="1" s="1"/>
  <c r="AJ150" i="1"/>
  <c r="AK150" i="1" s="1"/>
  <c r="AH150" i="1"/>
  <c r="AE150" i="1"/>
  <c r="AB150" i="1"/>
  <c r="Z150" i="1"/>
  <c r="Q150" i="1"/>
  <c r="P150" i="1"/>
  <c r="J150" i="1"/>
  <c r="BM149" i="1"/>
  <c r="AZ149" i="1"/>
  <c r="AY149" i="1"/>
  <c r="AQ149" i="1"/>
  <c r="AP149" i="1"/>
  <c r="AH149" i="1"/>
  <c r="AE149" i="1"/>
  <c r="AB149" i="1"/>
  <c r="Z149" i="1"/>
  <c r="R149" i="1"/>
  <c r="S149" i="1" s="1"/>
  <c r="Q149" i="1"/>
  <c r="P149" i="1"/>
  <c r="J149" i="1"/>
  <c r="BM148" i="1"/>
  <c r="BD148" i="1"/>
  <c r="BA148" i="1"/>
  <c r="BF148" i="1" s="1"/>
  <c r="AZ148" i="1"/>
  <c r="AY148" i="1"/>
  <c r="AQ148" i="1"/>
  <c r="AP148" i="1"/>
  <c r="AH148" i="1"/>
  <c r="AE148" i="1"/>
  <c r="AJ148" i="1" s="1"/>
  <c r="AK148" i="1" s="1"/>
  <c r="AL148" i="1" s="1"/>
  <c r="AB148" i="1"/>
  <c r="Z148" i="1"/>
  <c r="R148" i="1"/>
  <c r="S148" i="1" s="1"/>
  <c r="Q148" i="1"/>
  <c r="P148" i="1"/>
  <c r="J148" i="1"/>
  <c r="BM147" i="1"/>
  <c r="BC147" i="1"/>
  <c r="BA147" i="1"/>
  <c r="AZ147" i="1"/>
  <c r="AY147" i="1"/>
  <c r="AQ147" i="1"/>
  <c r="AP147" i="1"/>
  <c r="AR147" i="1" s="1"/>
  <c r="AI147" i="1"/>
  <c r="AH147" i="1"/>
  <c r="AJ147" i="1" s="1"/>
  <c r="AK147" i="1" s="1"/>
  <c r="AE147" i="1"/>
  <c r="AA147" i="1"/>
  <c r="Z147" i="1"/>
  <c r="AL147" i="1" s="1"/>
  <c r="Q147" i="1"/>
  <c r="P147" i="1"/>
  <c r="J147" i="1"/>
  <c r="BM146" i="1"/>
  <c r="AZ146" i="1"/>
  <c r="AY146" i="1"/>
  <c r="BA146" i="1" s="1"/>
  <c r="AU146" i="1"/>
  <c r="AT146" i="1"/>
  <c r="AR146" i="1"/>
  <c r="AQ146" i="1"/>
  <c r="AP146" i="1"/>
  <c r="AI146" i="1"/>
  <c r="AH146" i="1"/>
  <c r="AE146" i="1"/>
  <c r="AJ146" i="1" s="1"/>
  <c r="AK146" i="1" s="1"/>
  <c r="AL146" i="1" s="1"/>
  <c r="AB146" i="1"/>
  <c r="AA146" i="1"/>
  <c r="Z146" i="1"/>
  <c r="Q146" i="1"/>
  <c r="R146" i="1" s="1"/>
  <c r="P146" i="1"/>
  <c r="J146" i="1"/>
  <c r="BM145" i="1"/>
  <c r="BD145" i="1"/>
  <c r="AZ145" i="1"/>
  <c r="BA145" i="1" s="1"/>
  <c r="AY145" i="1"/>
  <c r="AQ145" i="1"/>
  <c r="AP145" i="1"/>
  <c r="AR145" i="1" s="1"/>
  <c r="AH145" i="1"/>
  <c r="AE145" i="1"/>
  <c r="AJ145" i="1" s="1"/>
  <c r="AK145" i="1" s="1"/>
  <c r="AL145" i="1" s="1"/>
  <c r="AB145" i="1"/>
  <c r="AA145" i="1"/>
  <c r="Z145" i="1"/>
  <c r="Q145" i="1"/>
  <c r="R145" i="1" s="1"/>
  <c r="S145" i="1" s="1"/>
  <c r="P145" i="1"/>
  <c r="J145" i="1"/>
  <c r="BM144" i="1"/>
  <c r="BF144" i="1"/>
  <c r="AZ144" i="1"/>
  <c r="AY144" i="1"/>
  <c r="BA144" i="1" s="1"/>
  <c r="AT144" i="1"/>
  <c r="AR144" i="1"/>
  <c r="BI144" i="1" s="1"/>
  <c r="AQ144" i="1"/>
  <c r="AP144" i="1"/>
  <c r="AI144" i="1"/>
  <c r="AH144" i="1"/>
  <c r="AE144" i="1"/>
  <c r="AJ144" i="1" s="1"/>
  <c r="AK144" i="1" s="1"/>
  <c r="AA144" i="1"/>
  <c r="AB144" i="1" s="1"/>
  <c r="Z144" i="1"/>
  <c r="Q144" i="1"/>
  <c r="P144" i="1"/>
  <c r="J144" i="1"/>
  <c r="R144" i="1" s="1"/>
  <c r="BM143" i="1"/>
  <c r="BA143" i="1"/>
  <c r="AZ143" i="1"/>
  <c r="AY143" i="1"/>
  <c r="AR143" i="1"/>
  <c r="AS143" i="1" s="1"/>
  <c r="AQ143" i="1"/>
  <c r="AP143" i="1"/>
  <c r="AH143" i="1"/>
  <c r="AE143" i="1"/>
  <c r="Z143" i="1"/>
  <c r="R143" i="1"/>
  <c r="S143" i="1" s="1"/>
  <c r="Q143" i="1"/>
  <c r="P143" i="1"/>
  <c r="J143" i="1"/>
  <c r="BM142" i="1"/>
  <c r="AZ142" i="1"/>
  <c r="AY142" i="1"/>
  <c r="BA142" i="1" s="1"/>
  <c r="AU142" i="1"/>
  <c r="AT142" i="1"/>
  <c r="AS142" i="1"/>
  <c r="AR142" i="1"/>
  <c r="AQ142" i="1"/>
  <c r="AP142" i="1"/>
  <c r="AI142" i="1"/>
  <c r="AH142" i="1"/>
  <c r="AE142" i="1"/>
  <c r="AJ142" i="1" s="1"/>
  <c r="AA142" i="1"/>
  <c r="Z142" i="1"/>
  <c r="Q142" i="1"/>
  <c r="R142" i="1" s="1"/>
  <c r="S142" i="1" s="1"/>
  <c r="P142" i="1"/>
  <c r="J142" i="1"/>
  <c r="BM141" i="1"/>
  <c r="BA141" i="1"/>
  <c r="AZ141" i="1"/>
  <c r="AY141" i="1"/>
  <c r="AQ141" i="1"/>
  <c r="AP141" i="1"/>
  <c r="AR141" i="1" s="1"/>
  <c r="AH141" i="1"/>
  <c r="AE141" i="1"/>
  <c r="AJ141" i="1" s="1"/>
  <c r="AK141" i="1" s="1"/>
  <c r="AL141" i="1" s="1"/>
  <c r="AB141" i="1"/>
  <c r="AA141" i="1"/>
  <c r="R141" i="1"/>
  <c r="S141" i="1" s="1"/>
  <c r="Q141" i="1"/>
  <c r="P141" i="1"/>
  <c r="J141" i="1"/>
  <c r="BM140" i="1"/>
  <c r="AZ140" i="1"/>
  <c r="AY140" i="1"/>
  <c r="BA140" i="1" s="1"/>
  <c r="BC140" i="1" s="1"/>
  <c r="AQ140" i="1"/>
  <c r="AP140" i="1"/>
  <c r="AR140" i="1" s="1"/>
  <c r="AJ140" i="1"/>
  <c r="AI140" i="1"/>
  <c r="AH140" i="1"/>
  <c r="AE140" i="1"/>
  <c r="AA140" i="1"/>
  <c r="Z140" i="1"/>
  <c r="S140" i="1"/>
  <c r="R140" i="1"/>
  <c r="Q140" i="1"/>
  <c r="P140" i="1"/>
  <c r="J140" i="1"/>
  <c r="BM139" i="1"/>
  <c r="AZ139" i="1"/>
  <c r="BA139" i="1" s="1"/>
  <c r="AY139" i="1"/>
  <c r="AQ139" i="1"/>
  <c r="AP139" i="1"/>
  <c r="AH139" i="1"/>
  <c r="AE139" i="1"/>
  <c r="AJ139" i="1" s="1"/>
  <c r="AK139" i="1" s="1"/>
  <c r="Z139" i="1"/>
  <c r="R139" i="1"/>
  <c r="S139" i="1" s="1"/>
  <c r="Q139" i="1"/>
  <c r="P139" i="1"/>
  <c r="J139" i="1"/>
  <c r="BM138" i="1"/>
  <c r="BC138" i="1"/>
  <c r="AZ138" i="1"/>
  <c r="AY138" i="1"/>
  <c r="BA138" i="1" s="1"/>
  <c r="AR138" i="1"/>
  <c r="AQ138" i="1"/>
  <c r="AP138" i="1"/>
  <c r="AH138" i="1"/>
  <c r="AE138" i="1"/>
  <c r="AJ138" i="1" s="1"/>
  <c r="AK138" i="1" s="1"/>
  <c r="AL138" i="1" s="1"/>
  <c r="AB138" i="1"/>
  <c r="Z138" i="1"/>
  <c r="Q138" i="1"/>
  <c r="P138" i="1"/>
  <c r="J138" i="1"/>
  <c r="R138" i="1" s="1"/>
  <c r="S138" i="1" s="1"/>
  <c r="BM137" i="1"/>
  <c r="AZ137" i="1"/>
  <c r="AY137" i="1"/>
  <c r="AU137" i="1"/>
  <c r="AT137" i="1"/>
  <c r="AQ137" i="1"/>
  <c r="AP137" i="1"/>
  <c r="AR137" i="1" s="1"/>
  <c r="AH137" i="1"/>
  <c r="AE137" i="1"/>
  <c r="AJ137" i="1" s="1"/>
  <c r="AK137" i="1" s="1"/>
  <c r="AB137" i="1"/>
  <c r="Z137" i="1"/>
  <c r="R137" i="1"/>
  <c r="S137" i="1" s="1"/>
  <c r="Q137" i="1"/>
  <c r="J137" i="1"/>
  <c r="BM136" i="1"/>
  <c r="AZ136" i="1"/>
  <c r="AY136" i="1"/>
  <c r="BA136" i="1" s="1"/>
  <c r="AR136" i="1"/>
  <c r="AQ136" i="1"/>
  <c r="AP136" i="1"/>
  <c r="AH136" i="1"/>
  <c r="AE136" i="1"/>
  <c r="AJ136" i="1" s="1"/>
  <c r="AK136" i="1" s="1"/>
  <c r="Z136" i="1"/>
  <c r="R136" i="1"/>
  <c r="S136" i="1" s="1"/>
  <c r="Q136" i="1"/>
  <c r="P136" i="1"/>
  <c r="J136" i="1"/>
  <c r="BM135" i="1"/>
  <c r="BI135" i="1"/>
  <c r="AZ135" i="1"/>
  <c r="AY135" i="1"/>
  <c r="BA135" i="1" s="1"/>
  <c r="BB135" i="1" s="1"/>
  <c r="AS135" i="1"/>
  <c r="AR135" i="1"/>
  <c r="AU135" i="1" s="1"/>
  <c r="AQ135" i="1"/>
  <c r="AP135" i="1"/>
  <c r="AH135" i="1"/>
  <c r="AE135" i="1"/>
  <c r="AJ135" i="1" s="1"/>
  <c r="AK135" i="1" s="1"/>
  <c r="AL135" i="1" s="1"/>
  <c r="AA135" i="1"/>
  <c r="Z135" i="1"/>
  <c r="R135" i="1"/>
  <c r="S135" i="1" s="1"/>
  <c r="Q135" i="1"/>
  <c r="P135" i="1"/>
  <c r="J135" i="1"/>
  <c r="BM134" i="1"/>
  <c r="AZ134" i="1"/>
  <c r="BA134" i="1" s="1"/>
  <c r="AY134" i="1"/>
  <c r="AQ134" i="1"/>
  <c r="AP134" i="1"/>
  <c r="AR134" i="1" s="1"/>
  <c r="AH134" i="1"/>
  <c r="AE134" i="1"/>
  <c r="Z134" i="1"/>
  <c r="AB134" i="1" s="1"/>
  <c r="Q134" i="1"/>
  <c r="P134" i="1"/>
  <c r="J134" i="1"/>
  <c r="R134" i="1" s="1"/>
  <c r="S134" i="1" s="1"/>
  <c r="BM133" i="1"/>
  <c r="BC133" i="1"/>
  <c r="AZ133" i="1"/>
  <c r="BA133" i="1" s="1"/>
  <c r="AY133" i="1"/>
  <c r="AQ133" i="1"/>
  <c r="AP133" i="1"/>
  <c r="AR133" i="1" s="1"/>
  <c r="AH133" i="1"/>
  <c r="AE133" i="1"/>
  <c r="Z133" i="1"/>
  <c r="AB133" i="1" s="1"/>
  <c r="R133" i="1"/>
  <c r="S133" i="1" s="1"/>
  <c r="Q133" i="1"/>
  <c r="P133" i="1"/>
  <c r="J133" i="1"/>
  <c r="BM132" i="1"/>
  <c r="AZ132" i="1"/>
  <c r="AY132" i="1"/>
  <c r="BA132" i="1" s="1"/>
  <c r="AQ132" i="1"/>
  <c r="AR132" i="1" s="1"/>
  <c r="AP132" i="1"/>
  <c r="AJ132" i="1"/>
  <c r="AL132" i="1" s="1"/>
  <c r="AB132" i="1"/>
  <c r="Q132" i="1"/>
  <c r="R132" i="1" s="1"/>
  <c r="S132" i="1" s="1"/>
  <c r="P132" i="1"/>
  <c r="J132" i="1"/>
  <c r="BM131" i="1"/>
  <c r="BA131" i="1"/>
  <c r="AZ131" i="1"/>
  <c r="AY131" i="1"/>
  <c r="AQ131" i="1"/>
  <c r="AR131" i="1" s="1"/>
  <c r="AP131" i="1"/>
  <c r="AJ131" i="1"/>
  <c r="AL131" i="1" s="1"/>
  <c r="AB131" i="1"/>
  <c r="Q131" i="1"/>
  <c r="P131" i="1"/>
  <c r="J131" i="1"/>
  <c r="R131" i="1" s="1"/>
  <c r="S131" i="1" s="1"/>
  <c r="BM130" i="1"/>
  <c r="AZ130" i="1"/>
  <c r="AY130" i="1"/>
  <c r="BA130" i="1" s="1"/>
  <c r="AT130" i="1"/>
  <c r="AS130" i="1"/>
  <c r="AR130" i="1"/>
  <c r="AQ130" i="1"/>
  <c r="AP130" i="1"/>
  <c r="AJ130" i="1"/>
  <c r="AL130" i="1" s="1"/>
  <c r="AB130" i="1"/>
  <c r="Q130" i="1"/>
  <c r="P130" i="1"/>
  <c r="J130" i="1"/>
  <c r="BM129" i="1"/>
  <c r="BI129" i="1"/>
  <c r="AZ129" i="1"/>
  <c r="AY129" i="1"/>
  <c r="BA129" i="1" s="1"/>
  <c r="BC129" i="1" s="1"/>
  <c r="AT129" i="1"/>
  <c r="AQ129" i="1"/>
  <c r="AP129" i="1"/>
  <c r="AR129" i="1" s="1"/>
  <c r="AL129" i="1"/>
  <c r="AJ129" i="1"/>
  <c r="AB129" i="1"/>
  <c r="Q129" i="1"/>
  <c r="P129" i="1"/>
  <c r="J129" i="1"/>
  <c r="BM128" i="1"/>
  <c r="BC128" i="1"/>
  <c r="BA128" i="1"/>
  <c r="AZ128" i="1"/>
  <c r="AY128" i="1"/>
  <c r="AQ128" i="1"/>
  <c r="AP128" i="1"/>
  <c r="AR128" i="1" s="1"/>
  <c r="AL128" i="1"/>
  <c r="AJ128" i="1"/>
  <c r="AB128" i="1"/>
  <c r="J128" i="1"/>
  <c r="E128" i="1"/>
  <c r="P128" i="1" s="1"/>
  <c r="BM127" i="1"/>
  <c r="AZ127" i="1"/>
  <c r="AY127" i="1"/>
  <c r="AQ127" i="1"/>
  <c r="AP127" i="1"/>
  <c r="AR127" i="1" s="1"/>
  <c r="AJ127" i="1"/>
  <c r="AL127" i="1" s="1"/>
  <c r="AB127" i="1"/>
  <c r="Q127" i="1"/>
  <c r="P127" i="1"/>
  <c r="J127" i="1"/>
  <c r="R127" i="1" s="1"/>
  <c r="S127" i="1" s="1"/>
  <c r="BM126" i="1"/>
  <c r="AZ126" i="1"/>
  <c r="AY126" i="1"/>
  <c r="BA126" i="1" s="1"/>
  <c r="AU126" i="1"/>
  <c r="AS126" i="1"/>
  <c r="AR126" i="1"/>
  <c r="AT126" i="1" s="1"/>
  <c r="AQ126" i="1"/>
  <c r="AP126" i="1"/>
  <c r="AJ126" i="1"/>
  <c r="AL126" i="1" s="1"/>
  <c r="AB126" i="1"/>
  <c r="R126" i="1"/>
  <c r="S126" i="1" s="1"/>
  <c r="Q126" i="1"/>
  <c r="P126" i="1"/>
  <c r="J126" i="1"/>
  <c r="BM125" i="1"/>
  <c r="BI125" i="1"/>
  <c r="BA125" i="1"/>
  <c r="AZ125" i="1"/>
  <c r="AY125" i="1"/>
  <c r="AU125" i="1"/>
  <c r="AQ125" i="1"/>
  <c r="AP125" i="1"/>
  <c r="AR125" i="1" s="1"/>
  <c r="AL125" i="1"/>
  <c r="AJ125" i="1"/>
  <c r="AB125" i="1"/>
  <c r="Q125" i="1"/>
  <c r="P125" i="1"/>
  <c r="J125" i="1"/>
  <c r="R125" i="1" s="1"/>
  <c r="S125" i="1" s="1"/>
  <c r="BM124" i="1"/>
  <c r="BD124" i="1"/>
  <c r="BA124" i="1"/>
  <c r="BC124" i="1" s="1"/>
  <c r="AZ124" i="1"/>
  <c r="AY124" i="1"/>
  <c r="AQ124" i="1"/>
  <c r="AP124" i="1"/>
  <c r="AJ124" i="1"/>
  <c r="AL124" i="1" s="1"/>
  <c r="AB124" i="1"/>
  <c r="S124" i="1"/>
  <c r="R124" i="1"/>
  <c r="Q124" i="1"/>
  <c r="P124" i="1"/>
  <c r="J124" i="1"/>
  <c r="BM123" i="1"/>
  <c r="BA123" i="1"/>
  <c r="AZ123" i="1"/>
  <c r="AY123" i="1"/>
  <c r="AQ123" i="1"/>
  <c r="AP123" i="1"/>
  <c r="AR123" i="1" s="1"/>
  <c r="AL123" i="1"/>
  <c r="AJ123" i="1"/>
  <c r="AB123" i="1"/>
  <c r="Q123" i="1"/>
  <c r="J123" i="1"/>
  <c r="E123" i="1"/>
  <c r="P123" i="1" s="1"/>
  <c r="BM122" i="1"/>
  <c r="AZ122" i="1"/>
  <c r="AY122" i="1"/>
  <c r="BA122" i="1" s="1"/>
  <c r="BC122" i="1" s="1"/>
  <c r="AW122" i="1"/>
  <c r="AQ122" i="1"/>
  <c r="AP122" i="1"/>
  <c r="AR122" i="1" s="1"/>
  <c r="AJ122" i="1"/>
  <c r="AL122" i="1" s="1"/>
  <c r="AB122" i="1"/>
  <c r="Q122" i="1"/>
  <c r="P122" i="1"/>
  <c r="J122" i="1"/>
  <c r="R122" i="1" s="1"/>
  <c r="S122" i="1" s="1"/>
  <c r="BM121" i="1"/>
  <c r="AZ121" i="1"/>
  <c r="AY121" i="1"/>
  <c r="AU121" i="1"/>
  <c r="AT121" i="1"/>
  <c r="AQ121" i="1"/>
  <c r="AR121" i="1" s="1"/>
  <c r="AP121" i="1"/>
  <c r="AL121" i="1"/>
  <c r="AJ121" i="1"/>
  <c r="AB121" i="1"/>
  <c r="Q121" i="1"/>
  <c r="R121" i="1" s="1"/>
  <c r="S121" i="1" s="1"/>
  <c r="P121" i="1"/>
  <c r="J121" i="1"/>
  <c r="AZ120" i="1"/>
  <c r="AY120" i="1"/>
  <c r="BA120" i="1" s="1"/>
  <c r="AT120" i="1"/>
  <c r="AS120" i="1"/>
  <c r="AQ120" i="1"/>
  <c r="AP120" i="1"/>
  <c r="AR120" i="1" s="1"/>
  <c r="AJ120" i="1"/>
  <c r="AL120" i="1" s="1"/>
  <c r="AB120" i="1"/>
  <c r="J120" i="1"/>
  <c r="E120" i="1"/>
  <c r="BM120" i="1" s="1"/>
  <c r="BM119" i="1"/>
  <c r="BI119" i="1"/>
  <c r="BA119" i="1"/>
  <c r="AZ119" i="1"/>
  <c r="AY119" i="1"/>
  <c r="AS119" i="1"/>
  <c r="AR119" i="1"/>
  <c r="AQ119" i="1"/>
  <c r="AP119" i="1"/>
  <c r="AL119" i="1"/>
  <c r="AJ119" i="1"/>
  <c r="AB119" i="1"/>
  <c r="Q119" i="1"/>
  <c r="P119" i="1"/>
  <c r="J119" i="1"/>
  <c r="R119" i="1" s="1"/>
  <c r="S119" i="1" s="1"/>
  <c r="BM118" i="1"/>
  <c r="BI118" i="1"/>
  <c r="BA118" i="1"/>
  <c r="AZ118" i="1"/>
  <c r="AY118" i="1"/>
  <c r="AS118" i="1"/>
  <c r="AR118" i="1"/>
  <c r="AQ118" i="1"/>
  <c r="AP118" i="1"/>
  <c r="AL118" i="1"/>
  <c r="AJ118" i="1"/>
  <c r="AB118" i="1"/>
  <c r="S118" i="1"/>
  <c r="Q118" i="1"/>
  <c r="P118" i="1"/>
  <c r="J118" i="1"/>
  <c r="R118" i="1" s="1"/>
  <c r="BM117" i="1"/>
  <c r="AZ117" i="1"/>
  <c r="AY117" i="1"/>
  <c r="BA117" i="1" s="1"/>
  <c r="BD117" i="1" s="1"/>
  <c r="AQ117" i="1"/>
  <c r="AP117" i="1"/>
  <c r="AR117" i="1" s="1"/>
  <c r="AL117" i="1"/>
  <c r="AJ117" i="1"/>
  <c r="AB117" i="1"/>
  <c r="Q117" i="1"/>
  <c r="P117" i="1"/>
  <c r="J117" i="1"/>
  <c r="R117" i="1" s="1"/>
  <c r="BM116" i="1"/>
  <c r="AZ116" i="1"/>
  <c r="AY116" i="1"/>
  <c r="BA116" i="1" s="1"/>
  <c r="AQ116" i="1"/>
  <c r="AP116" i="1"/>
  <c r="AR116" i="1" s="1"/>
  <c r="AL116" i="1"/>
  <c r="AJ116" i="1"/>
  <c r="AB116" i="1"/>
  <c r="S116" i="1"/>
  <c r="R116" i="1"/>
  <c r="Q116" i="1"/>
  <c r="P116" i="1"/>
  <c r="J116" i="1"/>
  <c r="BM115" i="1"/>
  <c r="AZ115" i="1"/>
  <c r="BA115" i="1" s="1"/>
  <c r="AY115" i="1"/>
  <c r="AR115" i="1"/>
  <c r="AT115" i="1" s="1"/>
  <c r="AQ115" i="1"/>
  <c r="AP115" i="1"/>
  <c r="AL115" i="1"/>
  <c r="AJ115" i="1"/>
  <c r="AB115" i="1"/>
  <c r="R115" i="1"/>
  <c r="S115" i="1" s="1"/>
  <c r="Q115" i="1"/>
  <c r="P115" i="1"/>
  <c r="J115" i="1"/>
  <c r="BM114" i="1"/>
  <c r="AZ114" i="1"/>
  <c r="AY114" i="1"/>
  <c r="BA114" i="1" s="1"/>
  <c r="AR114" i="1"/>
  <c r="AW114" i="1" s="1"/>
  <c r="AQ114" i="1"/>
  <c r="AP114" i="1"/>
  <c r="AJ114" i="1"/>
  <c r="AL114" i="1" s="1"/>
  <c r="AB114" i="1"/>
  <c r="Q114" i="1"/>
  <c r="R114" i="1" s="1"/>
  <c r="S114" i="1" s="1"/>
  <c r="P114" i="1"/>
  <c r="J114" i="1"/>
  <c r="BM113" i="1"/>
  <c r="AZ113" i="1"/>
  <c r="BA113" i="1" s="1"/>
  <c r="AY113" i="1"/>
  <c r="AQ113" i="1"/>
  <c r="AP113" i="1"/>
  <c r="AR113" i="1" s="1"/>
  <c r="AL113" i="1"/>
  <c r="AJ113" i="1"/>
  <c r="AB113" i="1"/>
  <c r="R113" i="1"/>
  <c r="S113" i="1" s="1"/>
  <c r="Q113" i="1"/>
  <c r="P113" i="1"/>
  <c r="J113" i="1"/>
  <c r="BM112" i="1"/>
  <c r="BA112" i="1"/>
  <c r="AZ112" i="1"/>
  <c r="AY112" i="1"/>
  <c r="AQ112" i="1"/>
  <c r="AP112" i="1"/>
  <c r="AR112" i="1" s="1"/>
  <c r="AL112" i="1"/>
  <c r="AJ112" i="1"/>
  <c r="AB112" i="1"/>
  <c r="S112" i="1"/>
  <c r="R112" i="1"/>
  <c r="Q112" i="1"/>
  <c r="P112" i="1"/>
  <c r="J112" i="1"/>
  <c r="BM111" i="1"/>
  <c r="AZ111" i="1"/>
  <c r="AY111" i="1"/>
  <c r="BA111" i="1" s="1"/>
  <c r="BD111" i="1" s="1"/>
  <c r="AQ111" i="1"/>
  <c r="AP111" i="1"/>
  <c r="AJ111" i="1"/>
  <c r="AL111" i="1" s="1"/>
  <c r="AB111" i="1"/>
  <c r="Q111" i="1"/>
  <c r="R111" i="1" s="1"/>
  <c r="S111" i="1" s="1"/>
  <c r="P111" i="1"/>
  <c r="J111" i="1"/>
  <c r="BM110" i="1"/>
  <c r="BD110" i="1"/>
  <c r="BC110" i="1"/>
  <c r="AZ110" i="1"/>
  <c r="BA110" i="1" s="1"/>
  <c r="AY110" i="1"/>
  <c r="AR110" i="1"/>
  <c r="AQ110" i="1"/>
  <c r="AP110" i="1"/>
  <c r="AL110" i="1"/>
  <c r="AJ110" i="1"/>
  <c r="AB110" i="1"/>
  <c r="Q110" i="1"/>
  <c r="P110" i="1"/>
  <c r="J110" i="1"/>
  <c r="R110" i="1" s="1"/>
  <c r="S110" i="1" s="1"/>
  <c r="BM109" i="1"/>
  <c r="BI109" i="1"/>
  <c r="BD109" i="1"/>
  <c r="BA109" i="1"/>
  <c r="BC109" i="1" s="1"/>
  <c r="AZ109" i="1"/>
  <c r="AY109" i="1"/>
  <c r="AQ109" i="1"/>
  <c r="AP109" i="1"/>
  <c r="AR109" i="1" s="1"/>
  <c r="AS109" i="1" s="1"/>
  <c r="AL109" i="1"/>
  <c r="AJ109" i="1"/>
  <c r="AB109" i="1"/>
  <c r="Q109" i="1"/>
  <c r="P109" i="1"/>
  <c r="J109" i="1"/>
  <c r="R109" i="1" s="1"/>
  <c r="S109" i="1" s="1"/>
  <c r="BM108" i="1"/>
  <c r="AZ108" i="1"/>
  <c r="AY108" i="1"/>
  <c r="BA108" i="1" s="1"/>
  <c r="AQ108" i="1"/>
  <c r="AP108" i="1"/>
  <c r="AL108" i="1"/>
  <c r="AJ108" i="1"/>
  <c r="AB108" i="1"/>
  <c r="Q108" i="1"/>
  <c r="J108" i="1"/>
  <c r="R108" i="1" s="1"/>
  <c r="S108" i="1" s="1"/>
  <c r="E108" i="1"/>
  <c r="BC108" i="1" s="1"/>
  <c r="BM107" i="1"/>
  <c r="BI107" i="1"/>
  <c r="BA107" i="1"/>
  <c r="BF107" i="1" s="1"/>
  <c r="AZ107" i="1"/>
  <c r="AY107" i="1"/>
  <c r="AS107" i="1"/>
  <c r="AR107" i="1"/>
  <c r="AQ107" i="1"/>
  <c r="AP107" i="1"/>
  <c r="AL107" i="1"/>
  <c r="AJ107" i="1"/>
  <c r="AB107" i="1"/>
  <c r="Q107" i="1"/>
  <c r="P107" i="1"/>
  <c r="J107" i="1"/>
  <c r="R107" i="1" s="1"/>
  <c r="S107" i="1" s="1"/>
  <c r="BM106" i="1"/>
  <c r="BI106" i="1"/>
  <c r="AZ106" i="1"/>
  <c r="AY106" i="1"/>
  <c r="BA106" i="1" s="1"/>
  <c r="AQ106" i="1"/>
  <c r="AP106" i="1"/>
  <c r="AR106" i="1" s="1"/>
  <c r="AJ106" i="1"/>
  <c r="AL106" i="1" s="1"/>
  <c r="AB106" i="1"/>
  <c r="R106" i="1"/>
  <c r="S106" i="1" s="1"/>
  <c r="Q106" i="1"/>
  <c r="P106" i="1"/>
  <c r="J106" i="1"/>
  <c r="BC105" i="1"/>
  <c r="AZ105" i="1"/>
  <c r="AY105" i="1"/>
  <c r="BA105" i="1" s="1"/>
  <c r="AQ105" i="1"/>
  <c r="AR105" i="1" s="1"/>
  <c r="AP105" i="1"/>
  <c r="AJ105" i="1"/>
  <c r="AL105" i="1" s="1"/>
  <c r="AB105" i="1"/>
  <c r="Q105" i="1"/>
  <c r="R105" i="1" s="1"/>
  <c r="S105" i="1" s="1"/>
  <c r="J105" i="1"/>
  <c r="E105" i="1"/>
  <c r="BM104" i="1"/>
  <c r="BA104" i="1"/>
  <c r="AZ104" i="1"/>
  <c r="AY104" i="1"/>
  <c r="AQ104" i="1"/>
  <c r="AP104" i="1"/>
  <c r="AR104" i="1" s="1"/>
  <c r="AJ104" i="1"/>
  <c r="AL104" i="1" s="1"/>
  <c r="AB104" i="1"/>
  <c r="S104" i="1"/>
  <c r="Q104" i="1"/>
  <c r="P104" i="1"/>
  <c r="J104" i="1"/>
  <c r="R104" i="1" s="1"/>
  <c r="BM103" i="1"/>
  <c r="AZ103" i="1"/>
  <c r="AY103" i="1"/>
  <c r="BA103" i="1" s="1"/>
  <c r="AQ103" i="1"/>
  <c r="AP103" i="1"/>
  <c r="AL103" i="1"/>
  <c r="AJ103" i="1"/>
  <c r="AB103" i="1"/>
  <c r="Q103" i="1"/>
  <c r="P103" i="1"/>
  <c r="J103" i="1"/>
  <c r="R103" i="1" s="1"/>
  <c r="E103" i="1"/>
  <c r="BM102" i="1"/>
  <c r="AZ102" i="1"/>
  <c r="BA102" i="1" s="1"/>
  <c r="AY102" i="1"/>
  <c r="AQ102" i="1"/>
  <c r="AP102" i="1"/>
  <c r="AR102" i="1" s="1"/>
  <c r="AL102" i="1"/>
  <c r="AJ102" i="1"/>
  <c r="AB102" i="1"/>
  <c r="S102" i="1"/>
  <c r="R102" i="1"/>
  <c r="Q102" i="1"/>
  <c r="P102" i="1"/>
  <c r="J102" i="1"/>
  <c r="BA101" i="1"/>
  <c r="AZ101" i="1"/>
  <c r="AY101" i="1"/>
  <c r="AT101" i="1"/>
  <c r="AQ101" i="1"/>
  <c r="AP101" i="1"/>
  <c r="AR101" i="1" s="1"/>
  <c r="AL101" i="1"/>
  <c r="AJ101" i="1"/>
  <c r="AB101" i="1"/>
  <c r="S101" i="1"/>
  <c r="R101" i="1"/>
  <c r="Q101" i="1"/>
  <c r="P101" i="1"/>
  <c r="J101" i="1"/>
  <c r="E101" i="1"/>
  <c r="BM101" i="1" s="1"/>
  <c r="BM100" i="1"/>
  <c r="BD100" i="1"/>
  <c r="BC100" i="1"/>
  <c r="AZ100" i="1"/>
  <c r="BA100" i="1" s="1"/>
  <c r="AY100" i="1"/>
  <c r="AR100" i="1"/>
  <c r="AQ100" i="1"/>
  <c r="AP100" i="1"/>
  <c r="AJ100" i="1"/>
  <c r="AL100" i="1" s="1"/>
  <c r="AB100" i="1"/>
  <c r="Q100" i="1"/>
  <c r="P100" i="1"/>
  <c r="J100" i="1"/>
  <c r="R100" i="1" s="1"/>
  <c r="S100" i="1" s="1"/>
  <c r="BM99" i="1"/>
  <c r="BD99" i="1"/>
  <c r="BA99" i="1"/>
  <c r="BC99" i="1" s="1"/>
  <c r="AZ99" i="1"/>
  <c r="AY99" i="1"/>
  <c r="AQ99" i="1"/>
  <c r="AP99" i="1"/>
  <c r="AR99" i="1" s="1"/>
  <c r="AL99" i="1"/>
  <c r="AJ99" i="1"/>
  <c r="AB99" i="1"/>
  <c r="Q99" i="1"/>
  <c r="P99" i="1"/>
  <c r="J99" i="1"/>
  <c r="R99" i="1" s="1"/>
  <c r="S99" i="1" s="1"/>
  <c r="BM98" i="1"/>
  <c r="AZ98" i="1"/>
  <c r="AY98" i="1"/>
  <c r="BA98" i="1" s="1"/>
  <c r="AQ98" i="1"/>
  <c r="AP98" i="1"/>
  <c r="AR98" i="1" s="1"/>
  <c r="AL98" i="1"/>
  <c r="AJ98" i="1"/>
  <c r="AB98" i="1"/>
  <c r="Q98" i="1"/>
  <c r="J98" i="1"/>
  <c r="E98" i="1"/>
  <c r="BC98" i="1" s="1"/>
  <c r="BM97" i="1"/>
  <c r="BA97" i="1"/>
  <c r="AZ97" i="1"/>
  <c r="AY97" i="1"/>
  <c r="AR97" i="1"/>
  <c r="AS97" i="1" s="1"/>
  <c r="AQ97" i="1"/>
  <c r="AP97" i="1"/>
  <c r="AL97" i="1"/>
  <c r="AJ97" i="1"/>
  <c r="AB97" i="1"/>
  <c r="S97" i="1"/>
  <c r="Q97" i="1"/>
  <c r="P97" i="1"/>
  <c r="J97" i="1"/>
  <c r="R97" i="1" s="1"/>
  <c r="BM96" i="1"/>
  <c r="AZ96" i="1"/>
  <c r="AY96" i="1"/>
  <c r="BA96" i="1" s="1"/>
  <c r="BI96" i="1" s="1"/>
  <c r="AW96" i="1"/>
  <c r="AQ96" i="1"/>
  <c r="AP96" i="1"/>
  <c r="AR96" i="1" s="1"/>
  <c r="AU96" i="1" s="1"/>
  <c r="AJ96" i="1"/>
  <c r="AL96" i="1" s="1"/>
  <c r="AB96" i="1"/>
  <c r="R96" i="1"/>
  <c r="S96" i="1" s="1"/>
  <c r="Q96" i="1"/>
  <c r="P96" i="1"/>
  <c r="J96" i="1"/>
  <c r="BM95" i="1"/>
  <c r="BC95" i="1"/>
  <c r="AZ95" i="1"/>
  <c r="AY95" i="1"/>
  <c r="BA95" i="1" s="1"/>
  <c r="AU95" i="1"/>
  <c r="AT95" i="1"/>
  <c r="AQ95" i="1"/>
  <c r="AR95" i="1" s="1"/>
  <c r="AP95" i="1"/>
  <c r="AJ95" i="1"/>
  <c r="AL95" i="1" s="1"/>
  <c r="AB95" i="1"/>
  <c r="Q95" i="1"/>
  <c r="J95" i="1"/>
  <c r="R95" i="1" s="1"/>
  <c r="S95" i="1" s="1"/>
  <c r="BM94" i="1"/>
  <c r="BC94" i="1"/>
  <c r="AZ94" i="1"/>
  <c r="AY94" i="1"/>
  <c r="BA94" i="1" s="1"/>
  <c r="AU94" i="1"/>
  <c r="AT94" i="1"/>
  <c r="AQ94" i="1"/>
  <c r="AR94" i="1" s="1"/>
  <c r="AP94" i="1"/>
  <c r="AJ94" i="1"/>
  <c r="AL94" i="1" s="1"/>
  <c r="AB94" i="1"/>
  <c r="Q94" i="1"/>
  <c r="R94" i="1" s="1"/>
  <c r="S94" i="1" s="1"/>
  <c r="P94" i="1"/>
  <c r="J94" i="1"/>
  <c r="BM93" i="1"/>
  <c r="AZ93" i="1"/>
  <c r="AY93" i="1"/>
  <c r="AU93" i="1"/>
  <c r="AR93" i="1"/>
  <c r="AT93" i="1" s="1"/>
  <c r="AQ93" i="1"/>
  <c r="AP93" i="1"/>
  <c r="AL93" i="1"/>
  <c r="AJ93" i="1"/>
  <c r="AB93" i="1"/>
  <c r="Q93" i="1"/>
  <c r="P93" i="1"/>
  <c r="J93" i="1"/>
  <c r="R93" i="1" s="1"/>
  <c r="S93" i="1" s="1"/>
  <c r="BM92" i="1"/>
  <c r="BA92" i="1"/>
  <c r="AZ92" i="1"/>
  <c r="AY92" i="1"/>
  <c r="AQ92" i="1"/>
  <c r="AP92" i="1"/>
  <c r="AR92" i="1" s="1"/>
  <c r="AJ92" i="1"/>
  <c r="AL92" i="1" s="1"/>
  <c r="AB92" i="1"/>
  <c r="S92" i="1"/>
  <c r="Q92" i="1"/>
  <c r="P92" i="1"/>
  <c r="J92" i="1"/>
  <c r="R92" i="1" s="1"/>
  <c r="BM91" i="1"/>
  <c r="BB91" i="1"/>
  <c r="AZ91" i="1"/>
  <c r="AY91" i="1"/>
  <c r="BA91" i="1" s="1"/>
  <c r="AQ91" i="1"/>
  <c r="AP91" i="1"/>
  <c r="AR91" i="1" s="1"/>
  <c r="AL91" i="1"/>
  <c r="AJ91" i="1"/>
  <c r="AB91" i="1"/>
  <c r="Q91" i="1"/>
  <c r="P91" i="1"/>
  <c r="J91" i="1"/>
  <c r="BC90" i="1"/>
  <c r="AZ90" i="1"/>
  <c r="AY90" i="1"/>
  <c r="BA90" i="1" s="1"/>
  <c r="AR90" i="1"/>
  <c r="AQ90" i="1"/>
  <c r="AP90" i="1"/>
  <c r="AJ90" i="1"/>
  <c r="AL90" i="1" s="1"/>
  <c r="AB90" i="1"/>
  <c r="Q90" i="1"/>
  <c r="R90" i="1" s="1"/>
  <c r="S90" i="1" s="1"/>
  <c r="J90" i="1"/>
  <c r="E90" i="1"/>
  <c r="P90" i="1" s="1"/>
  <c r="BM89" i="1"/>
  <c r="BA89" i="1"/>
  <c r="AZ89" i="1"/>
  <c r="AY89" i="1"/>
  <c r="AQ89" i="1"/>
  <c r="AP89" i="1"/>
  <c r="AR89" i="1" s="1"/>
  <c r="AL89" i="1"/>
  <c r="AJ89" i="1"/>
  <c r="AB89" i="1"/>
  <c r="S89" i="1"/>
  <c r="R89" i="1"/>
  <c r="Q89" i="1"/>
  <c r="P89" i="1"/>
  <c r="J89" i="1"/>
  <c r="BM88" i="1"/>
  <c r="AZ88" i="1"/>
  <c r="AY88" i="1"/>
  <c r="BA88" i="1" s="1"/>
  <c r="AQ88" i="1"/>
  <c r="AP88" i="1"/>
  <c r="AR88" i="1" s="1"/>
  <c r="AU88" i="1" s="1"/>
  <c r="AJ88" i="1"/>
  <c r="AL88" i="1" s="1"/>
  <c r="AB88" i="1"/>
  <c r="Q88" i="1"/>
  <c r="R88" i="1" s="1"/>
  <c r="S88" i="1" s="1"/>
  <c r="P88" i="1"/>
  <c r="J88" i="1"/>
  <c r="BM87" i="1"/>
  <c r="AZ87" i="1"/>
  <c r="BA87" i="1" s="1"/>
  <c r="AY87" i="1"/>
  <c r="AR87" i="1"/>
  <c r="AQ87" i="1"/>
  <c r="AP87" i="1"/>
  <c r="AJ87" i="1"/>
  <c r="AL87" i="1" s="1"/>
  <c r="AB87" i="1"/>
  <c r="Q87" i="1"/>
  <c r="P87" i="1"/>
  <c r="J87" i="1"/>
  <c r="R87" i="1" s="1"/>
  <c r="S87" i="1" s="1"/>
  <c r="BM86" i="1"/>
  <c r="BD86" i="1"/>
  <c r="BA86" i="1"/>
  <c r="BC86" i="1" s="1"/>
  <c r="AZ86" i="1"/>
  <c r="AY86" i="1"/>
  <c r="AQ86" i="1"/>
  <c r="AP86" i="1"/>
  <c r="AR86" i="1" s="1"/>
  <c r="BI86" i="1" s="1"/>
  <c r="AL86" i="1"/>
  <c r="AJ86" i="1"/>
  <c r="AB86" i="1"/>
  <c r="Q86" i="1"/>
  <c r="P86" i="1"/>
  <c r="J86" i="1"/>
  <c r="R86" i="1" s="1"/>
  <c r="S86" i="1" s="1"/>
  <c r="BM85" i="1"/>
  <c r="AZ85" i="1"/>
  <c r="AY85" i="1"/>
  <c r="BA85" i="1" s="1"/>
  <c r="AQ85" i="1"/>
  <c r="AP85" i="1"/>
  <c r="AL85" i="1"/>
  <c r="AJ85" i="1"/>
  <c r="AB85" i="1"/>
  <c r="Q85" i="1"/>
  <c r="P85" i="1"/>
  <c r="J85" i="1"/>
  <c r="R85" i="1" s="1"/>
  <c r="S85" i="1" s="1"/>
  <c r="BM84" i="1"/>
  <c r="AZ84" i="1"/>
  <c r="AY84" i="1"/>
  <c r="BA84" i="1" s="1"/>
  <c r="AQ84" i="1"/>
  <c r="AR84" i="1" s="1"/>
  <c r="AP84" i="1"/>
  <c r="AJ84" i="1"/>
  <c r="AL84" i="1" s="1"/>
  <c r="AB84" i="1"/>
  <c r="R84" i="1"/>
  <c r="S84" i="1" s="1"/>
  <c r="Q84" i="1"/>
  <c r="P84" i="1"/>
  <c r="J84" i="1"/>
  <c r="BM83" i="1"/>
  <c r="BA83" i="1"/>
  <c r="AZ83" i="1"/>
  <c r="AY83" i="1"/>
  <c r="AR83" i="1"/>
  <c r="BI83" i="1" s="1"/>
  <c r="AQ83" i="1"/>
  <c r="AP83" i="1"/>
  <c r="AL83" i="1"/>
  <c r="AJ83" i="1"/>
  <c r="AB83" i="1"/>
  <c r="Q83" i="1"/>
  <c r="P83" i="1"/>
  <c r="J83" i="1"/>
  <c r="R83" i="1" s="1"/>
  <c r="S83" i="1" s="1"/>
  <c r="BM82" i="1"/>
  <c r="AZ82" i="1"/>
  <c r="AY82" i="1"/>
  <c r="BA82" i="1" s="1"/>
  <c r="AW82" i="1"/>
  <c r="AT82" i="1"/>
  <c r="AS82" i="1"/>
  <c r="AQ82" i="1"/>
  <c r="AP82" i="1"/>
  <c r="AR82" i="1" s="1"/>
  <c r="AU82" i="1" s="1"/>
  <c r="AJ82" i="1"/>
  <c r="AL82" i="1" s="1"/>
  <c r="AB82" i="1"/>
  <c r="R82" i="1"/>
  <c r="S82" i="1" s="1"/>
  <c r="Q82" i="1"/>
  <c r="P82" i="1"/>
  <c r="J82" i="1"/>
  <c r="AZ81" i="1"/>
  <c r="AY81" i="1"/>
  <c r="BA81" i="1" s="1"/>
  <c r="AU81" i="1"/>
  <c r="AT81" i="1"/>
  <c r="AQ81" i="1"/>
  <c r="AR81" i="1" s="1"/>
  <c r="AP81" i="1"/>
  <c r="AJ81" i="1"/>
  <c r="AL81" i="1" s="1"/>
  <c r="AB81" i="1"/>
  <c r="P81" i="1"/>
  <c r="J81" i="1"/>
  <c r="R81" i="1" s="1"/>
  <c r="S81" i="1" s="1"/>
  <c r="E81" i="1"/>
  <c r="BM81" i="1" s="1"/>
  <c r="BM80" i="1"/>
  <c r="AZ80" i="1"/>
  <c r="AY80" i="1"/>
  <c r="AU80" i="1"/>
  <c r="AR80" i="1"/>
  <c r="AT80" i="1" s="1"/>
  <c r="AQ80" i="1"/>
  <c r="AP80" i="1"/>
  <c r="AL80" i="1"/>
  <c r="AJ80" i="1"/>
  <c r="AB80" i="1"/>
  <c r="Q80" i="1"/>
  <c r="P80" i="1"/>
  <c r="J80" i="1"/>
  <c r="R80" i="1" s="1"/>
  <c r="S80" i="1" s="1"/>
  <c r="BM79" i="1"/>
  <c r="BA79" i="1"/>
  <c r="AZ79" i="1"/>
  <c r="AY79" i="1"/>
  <c r="AQ79" i="1"/>
  <c r="AP79" i="1"/>
  <c r="AR79" i="1" s="1"/>
  <c r="AJ79" i="1"/>
  <c r="AL79" i="1" s="1"/>
  <c r="AB79" i="1"/>
  <c r="P79" i="1"/>
  <c r="J79" i="1"/>
  <c r="E79" i="1"/>
  <c r="BM78" i="1"/>
  <c r="AZ78" i="1"/>
  <c r="AY78" i="1"/>
  <c r="BA78" i="1" s="1"/>
  <c r="AR78" i="1"/>
  <c r="AQ78" i="1"/>
  <c r="AP78" i="1"/>
  <c r="AJ78" i="1"/>
  <c r="AL78" i="1" s="1"/>
  <c r="AB78" i="1"/>
  <c r="R78" i="1"/>
  <c r="S78" i="1" s="1"/>
  <c r="Q78" i="1"/>
  <c r="P78" i="1"/>
  <c r="J78" i="1"/>
  <c r="BM77" i="1"/>
  <c r="AZ77" i="1"/>
  <c r="BA77" i="1" s="1"/>
  <c r="AY77" i="1"/>
  <c r="AQ77" i="1"/>
  <c r="AP77" i="1"/>
  <c r="AJ77" i="1"/>
  <c r="AL77" i="1" s="1"/>
  <c r="AB77" i="1"/>
  <c r="S77" i="1"/>
  <c r="R77" i="1"/>
  <c r="Q77" i="1"/>
  <c r="P77" i="1"/>
  <c r="J77" i="1"/>
  <c r="BM76" i="1"/>
  <c r="BD76" i="1"/>
  <c r="BB76" i="1"/>
  <c r="BA76" i="1"/>
  <c r="AZ76" i="1"/>
  <c r="AY76" i="1"/>
  <c r="AQ76" i="1"/>
  <c r="AP76" i="1"/>
  <c r="AR76" i="1" s="1"/>
  <c r="AL76" i="1"/>
  <c r="AJ76" i="1"/>
  <c r="AB76" i="1"/>
  <c r="S76" i="1"/>
  <c r="R76" i="1"/>
  <c r="Q76" i="1"/>
  <c r="P76" i="1"/>
  <c r="J76" i="1"/>
  <c r="BM75" i="1"/>
  <c r="AZ75" i="1"/>
  <c r="AY75" i="1"/>
  <c r="BA75" i="1" s="1"/>
  <c r="AQ75" i="1"/>
  <c r="AP75" i="1"/>
  <c r="AJ75" i="1"/>
  <c r="AL75" i="1" s="1"/>
  <c r="AB75" i="1"/>
  <c r="Q75" i="1"/>
  <c r="R75" i="1" s="1"/>
  <c r="S75" i="1" s="1"/>
  <c r="P75" i="1"/>
  <c r="J75" i="1"/>
  <c r="BM74" i="1"/>
  <c r="AZ74" i="1"/>
  <c r="BA74" i="1" s="1"/>
  <c r="BB74" i="1" s="1"/>
  <c r="AY74" i="1"/>
  <c r="AT74" i="1"/>
  <c r="AR74" i="1"/>
  <c r="AQ74" i="1"/>
  <c r="AP74" i="1"/>
  <c r="AL74" i="1"/>
  <c r="AJ74" i="1"/>
  <c r="AB74" i="1"/>
  <c r="R74" i="1"/>
  <c r="S74" i="1" s="1"/>
  <c r="Q74" i="1"/>
  <c r="J74" i="1"/>
  <c r="BM73" i="1"/>
  <c r="BF73" i="1"/>
  <c r="BD73" i="1"/>
  <c r="BC73" i="1"/>
  <c r="AZ73" i="1"/>
  <c r="BA73" i="1" s="1"/>
  <c r="BB73" i="1" s="1"/>
  <c r="AY73" i="1"/>
  <c r="AQ73" i="1"/>
  <c r="AR73" i="1" s="1"/>
  <c r="AP73" i="1"/>
  <c r="AL73" i="1"/>
  <c r="AJ73" i="1"/>
  <c r="AB73" i="1"/>
  <c r="R73" i="1"/>
  <c r="S73" i="1" s="1"/>
  <c r="Q73" i="1"/>
  <c r="J73" i="1"/>
  <c r="BM72" i="1"/>
  <c r="BF72" i="1"/>
  <c r="BD72" i="1"/>
  <c r="BC72" i="1"/>
  <c r="BB72" i="1"/>
  <c r="AZ72" i="1"/>
  <c r="BA72" i="1" s="1"/>
  <c r="AY72" i="1"/>
  <c r="AT72" i="1"/>
  <c r="AS72" i="1"/>
  <c r="AR72" i="1"/>
  <c r="BI72" i="1" s="1"/>
  <c r="AQ72" i="1"/>
  <c r="AP72" i="1"/>
  <c r="AJ72" i="1"/>
  <c r="AL72" i="1" s="1"/>
  <c r="AB72" i="1"/>
  <c r="J72" i="1"/>
  <c r="R72" i="1" s="1"/>
  <c r="S72" i="1" s="1"/>
  <c r="E72" i="1"/>
  <c r="Q72" i="1" s="1"/>
  <c r="BM71" i="1"/>
  <c r="AZ71" i="1"/>
  <c r="AY71" i="1"/>
  <c r="BA71" i="1" s="1"/>
  <c r="BD71" i="1" s="1"/>
  <c r="AQ71" i="1"/>
  <c r="AP71" i="1"/>
  <c r="AL71" i="1"/>
  <c r="AJ71" i="1"/>
  <c r="AB71" i="1"/>
  <c r="Q71" i="1"/>
  <c r="J71" i="1"/>
  <c r="E71" i="1"/>
  <c r="BM70" i="1"/>
  <c r="BI70" i="1"/>
  <c r="BF70" i="1"/>
  <c r="BD70" i="1"/>
  <c r="BA70" i="1"/>
  <c r="AZ70" i="1"/>
  <c r="AY70" i="1"/>
  <c r="AU70" i="1"/>
  <c r="AR70" i="1"/>
  <c r="AT70" i="1" s="1"/>
  <c r="AQ70" i="1"/>
  <c r="AP70" i="1"/>
  <c r="AL70" i="1"/>
  <c r="AJ70" i="1"/>
  <c r="AB70" i="1"/>
  <c r="Q70" i="1"/>
  <c r="P70" i="1"/>
  <c r="J70" i="1"/>
  <c r="BM69" i="1"/>
  <c r="BI69" i="1"/>
  <c r="AZ69" i="1"/>
  <c r="AY69" i="1"/>
  <c r="BA69" i="1" s="1"/>
  <c r="AQ69" i="1"/>
  <c r="AP69" i="1"/>
  <c r="AR69" i="1" s="1"/>
  <c r="AU69" i="1" s="1"/>
  <c r="AJ69" i="1"/>
  <c r="AL69" i="1" s="1"/>
  <c r="AB69" i="1"/>
  <c r="Q69" i="1"/>
  <c r="P69" i="1"/>
  <c r="J69" i="1"/>
  <c r="R69" i="1" s="1"/>
  <c r="S69" i="1" s="1"/>
  <c r="AZ68" i="1"/>
  <c r="AY68" i="1"/>
  <c r="BA68" i="1" s="1"/>
  <c r="AW68" i="1"/>
  <c r="AU68" i="1"/>
  <c r="AS68" i="1"/>
  <c r="AQ68" i="1"/>
  <c r="AR68" i="1" s="1"/>
  <c r="AP68" i="1"/>
  <c r="AJ68" i="1"/>
  <c r="AL68" i="1" s="1"/>
  <c r="AB68" i="1"/>
  <c r="J68" i="1"/>
  <c r="E68" i="1"/>
  <c r="AZ67" i="1"/>
  <c r="BA67" i="1" s="1"/>
  <c r="AY67" i="1"/>
  <c r="AQ67" i="1"/>
  <c r="AP67" i="1"/>
  <c r="AR67" i="1" s="1"/>
  <c r="AJ67" i="1"/>
  <c r="AL67" i="1" s="1"/>
  <c r="AB67" i="1"/>
  <c r="J67" i="1"/>
  <c r="E67" i="1"/>
  <c r="BM67" i="1" s="1"/>
  <c r="BM66" i="1"/>
  <c r="AZ66" i="1"/>
  <c r="AY66" i="1"/>
  <c r="AQ66" i="1"/>
  <c r="AP66" i="1"/>
  <c r="AR66" i="1" s="1"/>
  <c r="AJ66" i="1"/>
  <c r="AL66" i="1" s="1"/>
  <c r="AB66" i="1"/>
  <c r="R66" i="1"/>
  <c r="S66" i="1" s="1"/>
  <c r="Q66" i="1"/>
  <c r="P66" i="1"/>
  <c r="J66" i="1"/>
  <c r="BM65" i="1"/>
  <c r="BA65" i="1"/>
  <c r="AZ65" i="1"/>
  <c r="AY65" i="1"/>
  <c r="AQ65" i="1"/>
  <c r="AP65" i="1"/>
  <c r="AR65" i="1" s="1"/>
  <c r="AJ65" i="1"/>
  <c r="AL65" i="1" s="1"/>
  <c r="AB65" i="1"/>
  <c r="Q65" i="1"/>
  <c r="R65" i="1" s="1"/>
  <c r="S65" i="1" s="1"/>
  <c r="J65" i="1"/>
  <c r="BM64" i="1"/>
  <c r="BI64" i="1"/>
  <c r="BA64" i="1"/>
  <c r="AZ64" i="1"/>
  <c r="AY64" i="1"/>
  <c r="AQ64" i="1"/>
  <c r="AP64" i="1"/>
  <c r="AR64" i="1" s="1"/>
  <c r="AJ64" i="1"/>
  <c r="AL64" i="1" s="1"/>
  <c r="AB64" i="1"/>
  <c r="Q64" i="1"/>
  <c r="P64" i="1"/>
  <c r="J64" i="1"/>
  <c r="R64" i="1" s="1"/>
  <c r="S64" i="1" s="1"/>
  <c r="AZ63" i="1"/>
  <c r="BA63" i="1" s="1"/>
  <c r="AY63" i="1"/>
  <c r="AQ63" i="1"/>
  <c r="AP63" i="1"/>
  <c r="AL63" i="1"/>
  <c r="AJ63" i="1"/>
  <c r="AB63" i="1"/>
  <c r="R63" i="1"/>
  <c r="S63" i="1" s="1"/>
  <c r="Q63" i="1"/>
  <c r="P63" i="1"/>
  <c r="J63" i="1"/>
  <c r="E63" i="1"/>
  <c r="BM63" i="1" s="1"/>
  <c r="BM62" i="1"/>
  <c r="AZ62" i="1"/>
  <c r="BA62" i="1" s="1"/>
  <c r="AY62" i="1"/>
  <c r="AQ62" i="1"/>
  <c r="AR62" i="1" s="1"/>
  <c r="BI62" i="1" s="1"/>
  <c r="AP62" i="1"/>
  <c r="AL62" i="1"/>
  <c r="AJ62" i="1"/>
  <c r="AB62" i="1"/>
  <c r="Q62" i="1"/>
  <c r="P62" i="1"/>
  <c r="J62" i="1"/>
  <c r="R62" i="1" s="1"/>
  <c r="S62" i="1" s="1"/>
  <c r="BM61" i="1"/>
  <c r="BD61" i="1"/>
  <c r="BB61" i="1"/>
  <c r="BA61" i="1"/>
  <c r="BF61" i="1" s="1"/>
  <c r="AZ61" i="1"/>
  <c r="AY61" i="1"/>
  <c r="AQ61" i="1"/>
  <c r="AP61" i="1"/>
  <c r="AR61" i="1" s="1"/>
  <c r="AT61" i="1" s="1"/>
  <c r="AL61" i="1"/>
  <c r="AJ61" i="1"/>
  <c r="AB61" i="1"/>
  <c r="J61" i="1"/>
  <c r="E61" i="1"/>
  <c r="BM60" i="1"/>
  <c r="BD60" i="1"/>
  <c r="BC60" i="1"/>
  <c r="AZ60" i="1"/>
  <c r="AY60" i="1"/>
  <c r="BA60" i="1" s="1"/>
  <c r="BB60" i="1" s="1"/>
  <c r="AQ60" i="1"/>
  <c r="AP60" i="1"/>
  <c r="AR60" i="1" s="1"/>
  <c r="AL60" i="1"/>
  <c r="AJ60" i="1"/>
  <c r="AB60" i="1"/>
  <c r="R60" i="1"/>
  <c r="S60" i="1" s="1"/>
  <c r="Q60" i="1"/>
  <c r="P60" i="1"/>
  <c r="J60" i="1"/>
  <c r="BM59" i="1"/>
  <c r="BI59" i="1"/>
  <c r="AZ59" i="1"/>
  <c r="AY59" i="1"/>
  <c r="BA59" i="1" s="1"/>
  <c r="AW59" i="1"/>
  <c r="AQ59" i="1"/>
  <c r="AP59" i="1"/>
  <c r="AR59" i="1" s="1"/>
  <c r="AL59" i="1"/>
  <c r="AJ59" i="1"/>
  <c r="AB59" i="1"/>
  <c r="Q59" i="1"/>
  <c r="J59" i="1"/>
  <c r="R59" i="1" s="1"/>
  <c r="S59" i="1" s="1"/>
  <c r="BM58" i="1"/>
  <c r="AZ58" i="1"/>
  <c r="AY58" i="1"/>
  <c r="BA58" i="1" s="1"/>
  <c r="AW58" i="1"/>
  <c r="AS58" i="1"/>
  <c r="AR58" i="1"/>
  <c r="AQ58" i="1"/>
  <c r="AP58" i="1"/>
  <c r="AL58" i="1"/>
  <c r="AJ58" i="1"/>
  <c r="AB58" i="1"/>
  <c r="Q58" i="1"/>
  <c r="P58" i="1"/>
  <c r="J58" i="1"/>
  <c r="R58" i="1" s="1"/>
  <c r="S58" i="1" s="1"/>
  <c r="BM57" i="1"/>
  <c r="BI57" i="1"/>
  <c r="AZ57" i="1"/>
  <c r="AY57" i="1"/>
  <c r="BA57" i="1" s="1"/>
  <c r="AW57" i="1"/>
  <c r="AT57" i="1"/>
  <c r="AQ57" i="1"/>
  <c r="AP57" i="1"/>
  <c r="AR57" i="1" s="1"/>
  <c r="AU57" i="1" s="1"/>
  <c r="AJ57" i="1"/>
  <c r="AL57" i="1" s="1"/>
  <c r="AB57" i="1"/>
  <c r="Q57" i="1"/>
  <c r="P57" i="1"/>
  <c r="J57" i="1"/>
  <c r="R57" i="1" s="1"/>
  <c r="S57" i="1" s="1"/>
  <c r="BA56" i="1"/>
  <c r="AZ56" i="1"/>
  <c r="AY56" i="1"/>
  <c r="AR56" i="1"/>
  <c r="BI56" i="1" s="1"/>
  <c r="AQ56" i="1"/>
  <c r="AP56" i="1"/>
  <c r="AJ56" i="1"/>
  <c r="AL56" i="1" s="1"/>
  <c r="AB56" i="1"/>
  <c r="Q56" i="1"/>
  <c r="R56" i="1" s="1"/>
  <c r="S56" i="1" s="1"/>
  <c r="P56" i="1"/>
  <c r="J56" i="1"/>
  <c r="E56" i="1"/>
  <c r="BM56" i="1" s="1"/>
  <c r="BC55" i="1"/>
  <c r="AZ55" i="1"/>
  <c r="BA55" i="1" s="1"/>
  <c r="AY55" i="1"/>
  <c r="AW55" i="1"/>
  <c r="AQ55" i="1"/>
  <c r="AP55" i="1"/>
  <c r="AR55" i="1" s="1"/>
  <c r="AJ55" i="1"/>
  <c r="AL55" i="1" s="1"/>
  <c r="AB55" i="1"/>
  <c r="P55" i="1"/>
  <c r="J55" i="1"/>
  <c r="E55" i="1"/>
  <c r="AZ54" i="1"/>
  <c r="AY54" i="1"/>
  <c r="AR54" i="1"/>
  <c r="AQ54" i="1"/>
  <c r="AP54" i="1"/>
  <c r="AJ54" i="1"/>
  <c r="AL54" i="1" s="1"/>
  <c r="AB54" i="1"/>
  <c r="Q54" i="1"/>
  <c r="P54" i="1"/>
  <c r="J54" i="1"/>
  <c r="R54" i="1" s="1"/>
  <c r="S54" i="1" s="1"/>
  <c r="E54" i="1"/>
  <c r="BM53" i="1"/>
  <c r="AZ53" i="1"/>
  <c r="AY53" i="1"/>
  <c r="BA53" i="1" s="1"/>
  <c r="AW53" i="1"/>
  <c r="AQ53" i="1"/>
  <c r="AP53" i="1"/>
  <c r="AR53" i="1" s="1"/>
  <c r="BI53" i="1" s="1"/>
  <c r="AL53" i="1"/>
  <c r="AJ53" i="1"/>
  <c r="AB53" i="1"/>
  <c r="Q53" i="1"/>
  <c r="R53" i="1" s="1"/>
  <c r="S53" i="1" s="1"/>
  <c r="P53" i="1"/>
  <c r="J53" i="1"/>
  <c r="BM52" i="1"/>
  <c r="BF52" i="1"/>
  <c r="AZ52" i="1"/>
  <c r="AY52" i="1"/>
  <c r="BA52" i="1" s="1"/>
  <c r="AU52" i="1"/>
  <c r="AS52" i="1"/>
  <c r="AR52" i="1"/>
  <c r="AQ52" i="1"/>
  <c r="AP52" i="1"/>
  <c r="AJ52" i="1"/>
  <c r="AL52" i="1" s="1"/>
  <c r="AB52" i="1"/>
  <c r="Q52" i="1"/>
  <c r="R52" i="1" s="1"/>
  <c r="S52" i="1" s="1"/>
  <c r="P52" i="1"/>
  <c r="J52" i="1"/>
  <c r="BM51" i="1"/>
  <c r="BB51" i="1"/>
  <c r="BA51" i="1"/>
  <c r="AZ51" i="1"/>
  <c r="AY51" i="1"/>
  <c r="AQ51" i="1"/>
  <c r="AR51" i="1" s="1"/>
  <c r="AP51" i="1"/>
  <c r="AL51" i="1"/>
  <c r="AJ51" i="1"/>
  <c r="AB51" i="1"/>
  <c r="S51" i="1"/>
  <c r="R51" i="1"/>
  <c r="Q51" i="1"/>
  <c r="J51" i="1"/>
  <c r="BM50" i="1"/>
  <c r="AZ50" i="1"/>
  <c r="BA50" i="1" s="1"/>
  <c r="AY50" i="1"/>
  <c r="AQ50" i="1"/>
  <c r="AR50" i="1" s="1"/>
  <c r="AP50" i="1"/>
  <c r="AL50" i="1"/>
  <c r="AJ50" i="1"/>
  <c r="AB50" i="1"/>
  <c r="R50" i="1"/>
  <c r="S50" i="1" s="1"/>
  <c r="Q50" i="1"/>
  <c r="J50" i="1"/>
  <c r="BM49" i="1"/>
  <c r="BD49" i="1"/>
  <c r="BC49" i="1"/>
  <c r="BB49" i="1"/>
  <c r="BA49" i="1"/>
  <c r="AZ49" i="1"/>
  <c r="AY49" i="1"/>
  <c r="AQ49" i="1"/>
  <c r="AR49" i="1" s="1"/>
  <c r="AP49" i="1"/>
  <c r="AJ49" i="1"/>
  <c r="AL49" i="1" s="1"/>
  <c r="AB49" i="1"/>
  <c r="S49" i="1"/>
  <c r="R49" i="1"/>
  <c r="Q49" i="1"/>
  <c r="J49" i="1"/>
  <c r="BM48" i="1"/>
  <c r="AZ48" i="1"/>
  <c r="BA48" i="1" s="1"/>
  <c r="AY48" i="1"/>
  <c r="AU48" i="1"/>
  <c r="AT48" i="1"/>
  <c r="AS48" i="1"/>
  <c r="AQ48" i="1"/>
  <c r="AR48" i="1" s="1"/>
  <c r="AP48" i="1"/>
  <c r="AJ48" i="1"/>
  <c r="AL48" i="1" s="1"/>
  <c r="AB48" i="1"/>
  <c r="R48" i="1"/>
  <c r="S48" i="1" s="1"/>
  <c r="Q48" i="1"/>
  <c r="P48" i="1"/>
  <c r="J48" i="1"/>
  <c r="BM47" i="1"/>
  <c r="BC47" i="1"/>
  <c r="BB47" i="1"/>
  <c r="BA47" i="1"/>
  <c r="AZ47" i="1"/>
  <c r="AY47" i="1"/>
  <c r="AU47" i="1"/>
  <c r="AT47" i="1"/>
  <c r="AS47" i="1"/>
  <c r="AQ47" i="1"/>
  <c r="AP47" i="1"/>
  <c r="AR47" i="1" s="1"/>
  <c r="AJ47" i="1"/>
  <c r="AL47" i="1" s="1"/>
  <c r="AB47" i="1"/>
  <c r="P47" i="1"/>
  <c r="J47" i="1"/>
  <c r="R47" i="1" s="1"/>
  <c r="S47" i="1" s="1"/>
  <c r="E47" i="1"/>
  <c r="Q47" i="1" s="1"/>
  <c r="BM46" i="1"/>
  <c r="AZ46" i="1"/>
  <c r="AY46" i="1"/>
  <c r="BA46" i="1" s="1"/>
  <c r="AQ46" i="1"/>
  <c r="AP46" i="1"/>
  <c r="AR46" i="1" s="1"/>
  <c r="AL46" i="1"/>
  <c r="AJ46" i="1"/>
  <c r="AB46" i="1"/>
  <c r="Q46" i="1"/>
  <c r="P46" i="1"/>
  <c r="J46" i="1"/>
  <c r="R46" i="1" s="1"/>
  <c r="S46" i="1" s="1"/>
  <c r="BM45" i="1"/>
  <c r="BA45" i="1"/>
  <c r="AZ45" i="1"/>
  <c r="AY45" i="1"/>
  <c r="AQ45" i="1"/>
  <c r="AP45" i="1"/>
  <c r="AR45" i="1" s="1"/>
  <c r="AL45" i="1"/>
  <c r="AJ45" i="1"/>
  <c r="AB45" i="1"/>
  <c r="J45" i="1"/>
  <c r="E45" i="1"/>
  <c r="P45" i="1" s="1"/>
  <c r="BM44" i="1"/>
  <c r="BI44" i="1"/>
  <c r="BA44" i="1"/>
  <c r="AZ44" i="1"/>
  <c r="AY44" i="1"/>
  <c r="AR44" i="1"/>
  <c r="AQ44" i="1"/>
  <c r="AP44" i="1"/>
  <c r="AJ44" i="1"/>
  <c r="AL44" i="1" s="1"/>
  <c r="AB44" i="1"/>
  <c r="Q44" i="1"/>
  <c r="J44" i="1"/>
  <c r="R44" i="1" s="1"/>
  <c r="S44" i="1" s="1"/>
  <c r="AZ43" i="1"/>
  <c r="BA43" i="1" s="1"/>
  <c r="AY43" i="1"/>
  <c r="AU43" i="1"/>
  <c r="AT43" i="1"/>
  <c r="AQ43" i="1"/>
  <c r="AR43" i="1" s="1"/>
  <c r="AP43" i="1"/>
  <c r="AJ43" i="1"/>
  <c r="AL43" i="1" s="1"/>
  <c r="AB43" i="1"/>
  <c r="Q43" i="1"/>
  <c r="R43" i="1" s="1"/>
  <c r="S43" i="1" s="1"/>
  <c r="P43" i="1"/>
  <c r="J43" i="1"/>
  <c r="E43" i="1"/>
  <c r="BM43" i="1" s="1"/>
  <c r="BM42" i="1"/>
  <c r="AZ42" i="1"/>
  <c r="BA42" i="1" s="1"/>
  <c r="AY42" i="1"/>
  <c r="AT42" i="1"/>
  <c r="AS42" i="1"/>
  <c r="AQ42" i="1"/>
  <c r="AP42" i="1"/>
  <c r="AR42" i="1" s="1"/>
  <c r="AL42" i="1"/>
  <c r="AJ42" i="1"/>
  <c r="AB42" i="1"/>
  <c r="Q42" i="1"/>
  <c r="P42" i="1"/>
  <c r="J42" i="1"/>
  <c r="AU42" i="1" s="1"/>
  <c r="BM41" i="1"/>
  <c r="BA41" i="1"/>
  <c r="AZ41" i="1"/>
  <c r="AY41" i="1"/>
  <c r="AQ41" i="1"/>
  <c r="AP41" i="1"/>
  <c r="AR41" i="1" s="1"/>
  <c r="AJ41" i="1"/>
  <c r="AL41" i="1" s="1"/>
  <c r="AB41" i="1"/>
  <c r="Q41" i="1"/>
  <c r="P41" i="1"/>
  <c r="J41" i="1"/>
  <c r="R41" i="1" s="1"/>
  <c r="S41" i="1" s="1"/>
  <c r="BM40" i="1"/>
  <c r="AZ40" i="1"/>
  <c r="AY40" i="1"/>
  <c r="AQ40" i="1"/>
  <c r="AP40" i="1"/>
  <c r="AR40" i="1" s="1"/>
  <c r="AJ40" i="1"/>
  <c r="AL40" i="1" s="1"/>
  <c r="AB40" i="1"/>
  <c r="Q40" i="1"/>
  <c r="P40" i="1"/>
  <c r="J40" i="1"/>
  <c r="R40" i="1" s="1"/>
  <c r="S40" i="1" s="1"/>
  <c r="BM39" i="1"/>
  <c r="AZ39" i="1"/>
  <c r="BA39" i="1" s="1"/>
  <c r="AY39" i="1"/>
  <c r="AS39" i="1"/>
  <c r="AR39" i="1"/>
  <c r="AQ39" i="1"/>
  <c r="AP39" i="1"/>
  <c r="AJ39" i="1"/>
  <c r="AL39" i="1" s="1"/>
  <c r="AB39" i="1"/>
  <c r="Q39" i="1"/>
  <c r="R39" i="1" s="1"/>
  <c r="S39" i="1" s="1"/>
  <c r="P39" i="1"/>
  <c r="J39" i="1"/>
  <c r="BM38" i="1"/>
  <c r="AZ38" i="1"/>
  <c r="AY38" i="1"/>
  <c r="BA38" i="1" s="1"/>
  <c r="AT38" i="1"/>
  <c r="AQ38" i="1"/>
  <c r="AP38" i="1"/>
  <c r="AR38" i="1" s="1"/>
  <c r="AL38" i="1"/>
  <c r="AJ38" i="1"/>
  <c r="AB38" i="1"/>
  <c r="R38" i="1"/>
  <c r="S38" i="1" s="1"/>
  <c r="Q38" i="1"/>
  <c r="P38" i="1"/>
  <c r="J38" i="1"/>
  <c r="BM37" i="1"/>
  <c r="AZ37" i="1"/>
  <c r="AY37" i="1"/>
  <c r="BA37" i="1" s="1"/>
  <c r="AR37" i="1"/>
  <c r="AU37" i="1" s="1"/>
  <c r="AQ37" i="1"/>
  <c r="AP37" i="1"/>
  <c r="AJ37" i="1"/>
  <c r="AL37" i="1" s="1"/>
  <c r="AB37" i="1"/>
  <c r="Q37" i="1"/>
  <c r="R37" i="1" s="1"/>
  <c r="S37" i="1" s="1"/>
  <c r="P37" i="1"/>
  <c r="J37" i="1"/>
  <c r="BM36" i="1"/>
  <c r="BI36" i="1"/>
  <c r="BC36" i="1"/>
  <c r="BA36" i="1"/>
  <c r="AZ36" i="1"/>
  <c r="AY36" i="1"/>
  <c r="AU36" i="1"/>
  <c r="AT36" i="1"/>
  <c r="AS36" i="1"/>
  <c r="AR36" i="1"/>
  <c r="AW36" i="1" s="1"/>
  <c r="AQ36" i="1"/>
  <c r="AP36" i="1"/>
  <c r="AL36" i="1"/>
  <c r="AJ36" i="1"/>
  <c r="AB36" i="1"/>
  <c r="S36" i="1"/>
  <c r="R36" i="1"/>
  <c r="Q36" i="1"/>
  <c r="P36" i="1"/>
  <c r="J36" i="1"/>
  <c r="BM35" i="1"/>
  <c r="BA35" i="1"/>
  <c r="BB35" i="1" s="1"/>
  <c r="AZ35" i="1"/>
  <c r="AY35" i="1"/>
  <c r="AQ35" i="1"/>
  <c r="AP35" i="1"/>
  <c r="AR35" i="1" s="1"/>
  <c r="AL35" i="1"/>
  <c r="AJ35" i="1"/>
  <c r="AB35" i="1"/>
  <c r="S35" i="1"/>
  <c r="Q35" i="1"/>
  <c r="P35" i="1"/>
  <c r="J35" i="1"/>
  <c r="R35" i="1" s="1"/>
  <c r="BM34" i="1"/>
  <c r="AZ34" i="1"/>
  <c r="AY34" i="1"/>
  <c r="BA34" i="1" s="1"/>
  <c r="AQ34" i="1"/>
  <c r="AP34" i="1"/>
  <c r="AR34" i="1" s="1"/>
  <c r="AJ34" i="1"/>
  <c r="AL34" i="1" s="1"/>
  <c r="AB34" i="1"/>
  <c r="Q34" i="1"/>
  <c r="P34" i="1"/>
  <c r="J34" i="1"/>
  <c r="R34" i="1" s="1"/>
  <c r="S34" i="1" s="1"/>
  <c r="BM33" i="1"/>
  <c r="BD33" i="1"/>
  <c r="AZ33" i="1"/>
  <c r="AY33" i="1"/>
  <c r="BA33" i="1" s="1"/>
  <c r="AR33" i="1"/>
  <c r="AQ33" i="1"/>
  <c r="AP33" i="1"/>
  <c r="AL33" i="1"/>
  <c r="AJ33" i="1"/>
  <c r="AB33" i="1"/>
  <c r="Q33" i="1"/>
  <c r="R33" i="1" s="1"/>
  <c r="S33" i="1" s="1"/>
  <c r="P33" i="1"/>
  <c r="J33" i="1"/>
  <c r="BM32" i="1"/>
  <c r="BF32" i="1"/>
  <c r="AZ32" i="1"/>
  <c r="AY32" i="1"/>
  <c r="BA32" i="1" s="1"/>
  <c r="AR32" i="1"/>
  <c r="AQ32" i="1"/>
  <c r="AP32" i="1"/>
  <c r="AL32" i="1"/>
  <c r="AJ32" i="1"/>
  <c r="AB32" i="1"/>
  <c r="Q32" i="1"/>
  <c r="P32" i="1"/>
  <c r="J32" i="1"/>
  <c r="R32" i="1" s="1"/>
  <c r="S32" i="1" s="1"/>
  <c r="BM31" i="1"/>
  <c r="AZ31" i="1"/>
  <c r="BA31" i="1" s="1"/>
  <c r="AY31" i="1"/>
  <c r="AQ31" i="1"/>
  <c r="AP31" i="1"/>
  <c r="AR31" i="1" s="1"/>
  <c r="AJ31" i="1"/>
  <c r="AL31" i="1" s="1"/>
  <c r="AB31" i="1"/>
  <c r="Q31" i="1"/>
  <c r="R31" i="1" s="1"/>
  <c r="S31" i="1" s="1"/>
  <c r="P31" i="1"/>
  <c r="J31" i="1"/>
  <c r="BM30" i="1"/>
  <c r="AZ30" i="1"/>
  <c r="AY30" i="1"/>
  <c r="BA30" i="1" s="1"/>
  <c r="BD30" i="1" s="1"/>
  <c r="AQ30" i="1"/>
  <c r="AR30" i="1" s="1"/>
  <c r="BI30" i="1" s="1"/>
  <c r="AP30" i="1"/>
  <c r="AJ30" i="1"/>
  <c r="AL30" i="1" s="1"/>
  <c r="AB30" i="1"/>
  <c r="S30" i="1"/>
  <c r="R30" i="1"/>
  <c r="Q30" i="1"/>
  <c r="P30" i="1"/>
  <c r="J30" i="1"/>
  <c r="BM29" i="1"/>
  <c r="BD29" i="1"/>
  <c r="BA29" i="1"/>
  <c r="BF29" i="1" s="1"/>
  <c r="AZ29" i="1"/>
  <c r="AY29" i="1"/>
  <c r="AS29" i="1"/>
  <c r="AR29" i="1"/>
  <c r="AQ29" i="1"/>
  <c r="AP29" i="1"/>
  <c r="AJ29" i="1"/>
  <c r="AL29" i="1" s="1"/>
  <c r="AB29" i="1"/>
  <c r="R29" i="1"/>
  <c r="S29" i="1" s="1"/>
  <c r="Q29" i="1"/>
  <c r="P29" i="1"/>
  <c r="J29" i="1"/>
  <c r="BM28" i="1"/>
  <c r="AZ28" i="1"/>
  <c r="BA28" i="1" s="1"/>
  <c r="AY28" i="1"/>
  <c r="AW28" i="1"/>
  <c r="AS28" i="1"/>
  <c r="AQ28" i="1"/>
  <c r="AP28" i="1"/>
  <c r="AR28" i="1" s="1"/>
  <c r="AJ28" i="1"/>
  <c r="AL28" i="1" s="1"/>
  <c r="AB28" i="1"/>
  <c r="R28" i="1"/>
  <c r="S28" i="1" s="1"/>
  <c r="Q28" i="1"/>
  <c r="P28" i="1"/>
  <c r="J28" i="1"/>
  <c r="BM27" i="1"/>
  <c r="AZ27" i="1"/>
  <c r="AY27" i="1"/>
  <c r="BA27" i="1" s="1"/>
  <c r="AQ27" i="1"/>
  <c r="AP27" i="1"/>
  <c r="AL27" i="1"/>
  <c r="AJ27" i="1"/>
  <c r="AB27" i="1"/>
  <c r="Q27" i="1"/>
  <c r="P27" i="1"/>
  <c r="J27" i="1"/>
  <c r="R27" i="1" s="1"/>
  <c r="S27" i="1" s="1"/>
  <c r="BM26" i="1"/>
  <c r="AZ26" i="1"/>
  <c r="AY26" i="1"/>
  <c r="BA26" i="1" s="1"/>
  <c r="BB26" i="1" s="1"/>
  <c r="AR26" i="1"/>
  <c r="AQ26" i="1"/>
  <c r="AP26" i="1"/>
  <c r="AJ26" i="1"/>
  <c r="AL26" i="1" s="1"/>
  <c r="AB26" i="1"/>
  <c r="Q26" i="1"/>
  <c r="P26" i="1"/>
  <c r="J26" i="1"/>
  <c r="R26" i="1" s="1"/>
  <c r="S26" i="1" s="1"/>
  <c r="BM25" i="1"/>
  <c r="BA25" i="1"/>
  <c r="BD25" i="1" s="1"/>
  <c r="AZ25" i="1"/>
  <c r="AY25" i="1"/>
  <c r="AQ25" i="1"/>
  <c r="AR25" i="1" s="1"/>
  <c r="AP25" i="1"/>
  <c r="AL25" i="1"/>
  <c r="AJ25" i="1"/>
  <c r="AB25" i="1"/>
  <c r="Q25" i="1"/>
  <c r="P25" i="1"/>
  <c r="J25" i="1"/>
  <c r="R25" i="1" s="1"/>
  <c r="S25" i="1" s="1"/>
  <c r="BM24" i="1"/>
  <c r="AZ24" i="1"/>
  <c r="AY24" i="1"/>
  <c r="BA24" i="1" s="1"/>
  <c r="AW24" i="1"/>
  <c r="AT24" i="1"/>
  <c r="AS24" i="1"/>
  <c r="AQ24" i="1"/>
  <c r="AP24" i="1"/>
  <c r="AR24" i="1" s="1"/>
  <c r="AU24" i="1" s="1"/>
  <c r="AL24" i="1"/>
  <c r="AJ24" i="1"/>
  <c r="AB24" i="1"/>
  <c r="Q24" i="1"/>
  <c r="R24" i="1" s="1"/>
  <c r="S24" i="1" s="1"/>
  <c r="P24" i="1"/>
  <c r="J24" i="1"/>
  <c r="BM23" i="1"/>
  <c r="BC23" i="1"/>
  <c r="AZ23" i="1"/>
  <c r="AY23" i="1"/>
  <c r="BA23" i="1" s="1"/>
  <c r="AQ23" i="1"/>
  <c r="AR23" i="1" s="1"/>
  <c r="AP23" i="1"/>
  <c r="AJ23" i="1"/>
  <c r="AL23" i="1" s="1"/>
  <c r="AB23" i="1"/>
  <c r="S23" i="1"/>
  <c r="R23" i="1"/>
  <c r="Q23" i="1"/>
  <c r="P23" i="1"/>
  <c r="J23" i="1"/>
  <c r="BM22" i="1"/>
  <c r="AZ22" i="1"/>
  <c r="BA22" i="1" s="1"/>
  <c r="AY22" i="1"/>
  <c r="AT22" i="1"/>
  <c r="AS22" i="1"/>
  <c r="AR22" i="1"/>
  <c r="AQ22" i="1"/>
  <c r="AP22" i="1"/>
  <c r="AL22" i="1"/>
  <c r="AJ22" i="1"/>
  <c r="AB22" i="1"/>
  <c r="R22" i="1"/>
  <c r="S22" i="1" s="1"/>
  <c r="Q22" i="1"/>
  <c r="P22" i="1"/>
  <c r="J22" i="1"/>
  <c r="BM21" i="1"/>
  <c r="BA21" i="1"/>
  <c r="BD21" i="1" s="1"/>
  <c r="AZ21" i="1"/>
  <c r="AY21" i="1"/>
  <c r="AQ21" i="1"/>
  <c r="AP21" i="1"/>
  <c r="AR21" i="1" s="1"/>
  <c r="AL21" i="1"/>
  <c r="AJ21" i="1"/>
  <c r="AB21" i="1"/>
  <c r="S21" i="1"/>
  <c r="Q21" i="1"/>
  <c r="P21" i="1"/>
  <c r="J21" i="1"/>
  <c r="R21" i="1" s="1"/>
  <c r="BM20" i="1"/>
  <c r="BD20" i="1"/>
  <c r="BC20" i="1"/>
  <c r="AZ20" i="1"/>
  <c r="AY20" i="1"/>
  <c r="BA20" i="1" s="1"/>
  <c r="BB20" i="1" s="1"/>
  <c r="AQ20" i="1"/>
  <c r="AP20" i="1"/>
  <c r="AR20" i="1" s="1"/>
  <c r="BI20" i="1" s="1"/>
  <c r="AL20" i="1"/>
  <c r="AJ20" i="1"/>
  <c r="AB20" i="1"/>
  <c r="Q20" i="1"/>
  <c r="P20" i="1"/>
  <c r="J20" i="1"/>
  <c r="BM19" i="1"/>
  <c r="BC19" i="1"/>
  <c r="AZ19" i="1"/>
  <c r="AY19" i="1"/>
  <c r="BA19" i="1" s="1"/>
  <c r="AW19" i="1"/>
  <c r="AR19" i="1"/>
  <c r="AQ19" i="1"/>
  <c r="AP19" i="1"/>
  <c r="AJ19" i="1"/>
  <c r="AL19" i="1" s="1"/>
  <c r="AB19" i="1"/>
  <c r="Q19" i="1"/>
  <c r="R19" i="1" s="1"/>
  <c r="S19" i="1" s="1"/>
  <c r="P19" i="1"/>
  <c r="J19" i="1"/>
  <c r="BD19" i="1" s="1"/>
  <c r="BM18" i="1"/>
  <c r="BD18" i="1"/>
  <c r="AZ18" i="1"/>
  <c r="AY18" i="1"/>
  <c r="BA18" i="1" s="1"/>
  <c r="AR18" i="1"/>
  <c r="AW18" i="1" s="1"/>
  <c r="AQ18" i="1"/>
  <c r="AP18" i="1"/>
  <c r="AL18" i="1"/>
  <c r="AJ18" i="1"/>
  <c r="AB18" i="1"/>
  <c r="S18" i="1"/>
  <c r="Q18" i="1"/>
  <c r="P18" i="1"/>
  <c r="J18" i="1"/>
  <c r="R18" i="1" s="1"/>
  <c r="BM17" i="1"/>
  <c r="AZ17" i="1"/>
  <c r="BA17" i="1" s="1"/>
  <c r="AY17" i="1"/>
  <c r="AQ17" i="1"/>
  <c r="AP17" i="1"/>
  <c r="AR17" i="1" s="1"/>
  <c r="AJ17" i="1"/>
  <c r="AL17" i="1" s="1"/>
  <c r="AB17" i="1"/>
  <c r="Q17" i="1"/>
  <c r="P17" i="1"/>
  <c r="J17" i="1"/>
  <c r="R17" i="1" s="1"/>
  <c r="S17" i="1" s="1"/>
  <c r="E17" i="1"/>
  <c r="BM16" i="1"/>
  <c r="BI16" i="1"/>
  <c r="BB16" i="1"/>
  <c r="AZ16" i="1"/>
  <c r="AY16" i="1"/>
  <c r="BA16" i="1" s="1"/>
  <c r="BF16" i="1" s="1"/>
  <c r="AS16" i="1"/>
  <c r="AR16" i="1"/>
  <c r="AQ16" i="1"/>
  <c r="AP16" i="1"/>
  <c r="AJ16" i="1"/>
  <c r="AL16" i="1" s="1"/>
  <c r="AB16" i="1"/>
  <c r="Q16" i="1"/>
  <c r="P16" i="1"/>
  <c r="J16" i="1"/>
  <c r="R16" i="1" s="1"/>
  <c r="S16" i="1" s="1"/>
  <c r="BM15" i="1"/>
  <c r="AZ15" i="1"/>
  <c r="BA15" i="1" s="1"/>
  <c r="AY15" i="1"/>
  <c r="AU15" i="1"/>
  <c r="AT15" i="1"/>
  <c r="AQ15" i="1"/>
  <c r="AP15" i="1"/>
  <c r="AR15" i="1" s="1"/>
  <c r="AS15" i="1" s="1"/>
  <c r="AL15" i="1"/>
  <c r="AJ15" i="1"/>
  <c r="AB15" i="1"/>
  <c r="R15" i="1"/>
  <c r="Q15" i="1"/>
  <c r="P15" i="1"/>
  <c r="J15" i="1"/>
  <c r="BM14" i="1"/>
  <c r="BA14" i="1"/>
  <c r="BB14" i="1" s="1"/>
  <c r="AZ14" i="1"/>
  <c r="AY14" i="1"/>
  <c r="AQ14" i="1"/>
  <c r="AP14" i="1"/>
  <c r="AR14" i="1" s="1"/>
  <c r="AJ14" i="1"/>
  <c r="AL14" i="1" s="1"/>
  <c r="AB14" i="1"/>
  <c r="Q14" i="1"/>
  <c r="P14" i="1"/>
  <c r="J14" i="1"/>
  <c r="BM13" i="1"/>
  <c r="AZ13" i="1"/>
  <c r="AY13" i="1"/>
  <c r="AQ13" i="1"/>
  <c r="AP13" i="1"/>
  <c r="AR13" i="1" s="1"/>
  <c r="AL13" i="1"/>
  <c r="AJ13" i="1"/>
  <c r="AB13" i="1"/>
  <c r="R13" i="1"/>
  <c r="S13" i="1" s="1"/>
  <c r="Q13" i="1"/>
  <c r="P13" i="1"/>
  <c r="J13" i="1"/>
  <c r="BM12" i="1"/>
  <c r="BI12" i="1"/>
  <c r="BD12" i="1"/>
  <c r="BC12" i="1"/>
  <c r="AZ12" i="1"/>
  <c r="AY12" i="1"/>
  <c r="BA12" i="1" s="1"/>
  <c r="BB12" i="1" s="1"/>
  <c r="AW12" i="1"/>
  <c r="AQ12" i="1"/>
  <c r="AP12" i="1"/>
  <c r="AR12" i="1" s="1"/>
  <c r="AJ12" i="1"/>
  <c r="AL12" i="1" s="1"/>
  <c r="AB12" i="1"/>
  <c r="R12" i="1"/>
  <c r="S12" i="1" s="1"/>
  <c r="Q12" i="1"/>
  <c r="P12" i="1"/>
  <c r="J12" i="1"/>
  <c r="BM11" i="1"/>
  <c r="AZ11" i="1"/>
  <c r="AY11" i="1"/>
  <c r="BA11" i="1" s="1"/>
  <c r="AQ11" i="1"/>
  <c r="AR11" i="1" s="1"/>
  <c r="AP11" i="1"/>
  <c r="AL11" i="1"/>
  <c r="AJ11" i="1"/>
  <c r="AB11" i="1"/>
  <c r="Q11" i="1"/>
  <c r="R11" i="1" s="1"/>
  <c r="S11" i="1" s="1"/>
  <c r="P11" i="1"/>
  <c r="J11" i="1"/>
  <c r="BM10" i="1"/>
  <c r="AZ10" i="1"/>
  <c r="AY10" i="1"/>
  <c r="BA10" i="1" s="1"/>
  <c r="AQ10" i="1"/>
  <c r="AP10" i="1"/>
  <c r="AR10" i="1" s="1"/>
  <c r="AT10" i="1" s="1"/>
  <c r="AJ10" i="1"/>
  <c r="AL10" i="1" s="1"/>
  <c r="AB10" i="1"/>
  <c r="Q10" i="1"/>
  <c r="P10" i="1"/>
  <c r="J10" i="1"/>
  <c r="BM9" i="1"/>
  <c r="BF9" i="1"/>
  <c r="BD9" i="1"/>
  <c r="BC9" i="1"/>
  <c r="BA9" i="1"/>
  <c r="BB9" i="1" s="1"/>
  <c r="AZ9" i="1"/>
  <c r="AY9" i="1"/>
  <c r="AR9" i="1"/>
  <c r="AQ9" i="1"/>
  <c r="AP9" i="1"/>
  <c r="AJ9" i="1"/>
  <c r="AL9" i="1" s="1"/>
  <c r="AB9" i="1"/>
  <c r="Q9" i="1"/>
  <c r="P9" i="1"/>
  <c r="J9" i="1"/>
  <c r="R9" i="1" s="1"/>
  <c r="S9" i="1" s="1"/>
  <c r="BM8" i="1"/>
  <c r="BD8" i="1"/>
  <c r="BC8" i="1"/>
  <c r="BB8" i="1"/>
  <c r="BA8" i="1"/>
  <c r="BF8" i="1" s="1"/>
  <c r="AZ8" i="1"/>
  <c r="AY8" i="1"/>
  <c r="AS8" i="1"/>
  <c r="AR8" i="1"/>
  <c r="AQ8" i="1"/>
  <c r="AP8" i="1"/>
  <c r="AJ8" i="1"/>
  <c r="AL8" i="1" s="1"/>
  <c r="AB8" i="1"/>
  <c r="Q8" i="1"/>
  <c r="P8" i="1"/>
  <c r="J8" i="1"/>
  <c r="R8" i="1" s="1"/>
  <c r="S8" i="1" s="1"/>
  <c r="BM7" i="1"/>
  <c r="AZ7" i="1"/>
  <c r="AY7" i="1"/>
  <c r="AQ7" i="1"/>
  <c r="AP7" i="1"/>
  <c r="AL7" i="1"/>
  <c r="AJ7" i="1"/>
  <c r="AB7" i="1"/>
  <c r="Q7" i="1"/>
  <c r="P7" i="1"/>
  <c r="J7" i="1"/>
  <c r="R7" i="1" s="1"/>
  <c r="S7" i="1" s="1"/>
  <c r="AU11" i="1" l="1"/>
  <c r="BI11" i="1"/>
  <c r="AW11" i="1"/>
  <c r="AT11" i="1"/>
  <c r="AS11" i="1"/>
  <c r="AT13" i="1"/>
  <c r="AS13" i="1"/>
  <c r="AU13" i="1"/>
  <c r="BF15" i="1"/>
  <c r="BD15" i="1"/>
  <c r="BB15" i="1"/>
  <c r="BC15" i="1"/>
  <c r="BB39" i="1"/>
  <c r="BF39" i="1"/>
  <c r="BD39" i="1"/>
  <c r="BC39" i="1"/>
  <c r="BD81" i="1"/>
  <c r="BB81" i="1"/>
  <c r="BC81" i="1"/>
  <c r="BC11" i="1"/>
  <c r="BD11" i="1"/>
  <c r="BB11" i="1"/>
  <c r="AU25" i="1"/>
  <c r="AT25" i="1"/>
  <c r="BI25" i="1"/>
  <c r="AW25" i="1"/>
  <c r="AS25" i="1"/>
  <c r="BI22" i="1"/>
  <c r="AW23" i="1"/>
  <c r="BI23" i="1"/>
  <c r="AT23" i="1"/>
  <c r="AU23" i="1"/>
  <c r="AS23" i="1"/>
  <c r="BH24" i="1"/>
  <c r="AU31" i="1"/>
  <c r="AW31" i="1"/>
  <c r="BI31" i="1"/>
  <c r="AT31" i="1"/>
  <c r="AS31" i="1"/>
  <c r="BH61" i="1"/>
  <c r="BH22" i="1"/>
  <c r="BC24" i="1"/>
  <c r="BD24" i="1"/>
  <c r="BB24" i="1"/>
  <c r="BF42" i="1"/>
  <c r="BD42" i="1"/>
  <c r="BC42" i="1"/>
  <c r="BB42" i="1"/>
  <c r="AU51" i="1"/>
  <c r="BI51" i="1"/>
  <c r="AS51" i="1"/>
  <c r="AT51" i="1"/>
  <c r="BI60" i="1"/>
  <c r="AS60" i="1"/>
  <c r="AW60" i="1"/>
  <c r="AU60" i="1"/>
  <c r="AT60" i="1"/>
  <c r="BD63" i="1"/>
  <c r="BB63" i="1"/>
  <c r="AU17" i="1"/>
  <c r="AW17" i="1"/>
  <c r="AT17" i="1"/>
  <c r="AS17" i="1"/>
  <c r="BI17" i="1"/>
  <c r="BD31" i="1"/>
  <c r="BC31" i="1"/>
  <c r="BB31" i="1"/>
  <c r="AT40" i="1"/>
  <c r="AS40" i="1"/>
  <c r="AU40" i="1"/>
  <c r="BC53" i="1"/>
  <c r="BD53" i="1"/>
  <c r="BB53" i="1"/>
  <c r="AU45" i="1"/>
  <c r="BI45" i="1"/>
  <c r="AS45" i="1"/>
  <c r="AU73" i="1"/>
  <c r="AT73" i="1"/>
  <c r="BI73" i="1"/>
  <c r="AS73" i="1"/>
  <c r="BB77" i="1"/>
  <c r="BD77" i="1"/>
  <c r="BC77" i="1"/>
  <c r="BC38" i="1"/>
  <c r="BF38" i="1"/>
  <c r="BD38" i="1"/>
  <c r="BI38" i="1"/>
  <c r="BB38" i="1"/>
  <c r="BH10" i="1"/>
  <c r="AW21" i="1"/>
  <c r="AU21" i="1"/>
  <c r="BI21" i="1"/>
  <c r="AT21" i="1"/>
  <c r="AS21" i="1"/>
  <c r="BD10" i="1"/>
  <c r="BC10" i="1"/>
  <c r="BI10" i="1"/>
  <c r="BB10" i="1"/>
  <c r="BD43" i="1"/>
  <c r="BC43" i="1"/>
  <c r="BB43" i="1"/>
  <c r="BD67" i="1"/>
  <c r="BB67" i="1"/>
  <c r="BD22" i="1"/>
  <c r="BC22" i="1"/>
  <c r="BF22" i="1"/>
  <c r="BB22" i="1"/>
  <c r="AW50" i="1"/>
  <c r="AU50" i="1"/>
  <c r="AT50" i="1"/>
  <c r="AS50" i="1"/>
  <c r="BI50" i="1"/>
  <c r="BD17" i="1"/>
  <c r="BC17" i="1"/>
  <c r="BB17" i="1"/>
  <c r="AW35" i="1"/>
  <c r="AU35" i="1"/>
  <c r="AT35" i="1"/>
  <c r="AS35" i="1"/>
  <c r="BI35" i="1"/>
  <c r="BC50" i="1"/>
  <c r="BB50" i="1"/>
  <c r="BD50" i="1"/>
  <c r="BD28" i="1"/>
  <c r="BC28" i="1"/>
  <c r="BI28" i="1"/>
  <c r="BB28" i="1"/>
  <c r="BD48" i="1"/>
  <c r="BC48" i="1"/>
  <c r="BB48" i="1"/>
  <c r="BC58" i="1"/>
  <c r="BB58" i="1"/>
  <c r="BD58" i="1"/>
  <c r="BC30" i="1"/>
  <c r="BB33" i="1"/>
  <c r="BF33" i="1"/>
  <c r="AS54" i="1"/>
  <c r="AW54" i="1"/>
  <c r="BD57" i="1"/>
  <c r="BC57" i="1"/>
  <c r="BB57" i="1"/>
  <c r="AT66" i="1"/>
  <c r="AS66" i="1"/>
  <c r="AU66" i="1"/>
  <c r="BC74" i="1"/>
  <c r="BD75" i="1"/>
  <c r="BC75" i="1"/>
  <c r="BD88" i="1"/>
  <c r="BC88" i="1"/>
  <c r="BB88" i="1"/>
  <c r="BB96" i="1"/>
  <c r="BI126" i="1"/>
  <c r="BF126" i="1"/>
  <c r="BD126" i="1"/>
  <c r="BC126" i="1"/>
  <c r="BB126" i="1"/>
  <c r="R130" i="1"/>
  <c r="AU130" i="1"/>
  <c r="AL139" i="1"/>
  <c r="AB139" i="1"/>
  <c r="BD297" i="1"/>
  <c r="BF297" i="1"/>
  <c r="BC297" i="1"/>
  <c r="BB297" i="1"/>
  <c r="BD62" i="1"/>
  <c r="BC62" i="1"/>
  <c r="BB62" i="1"/>
  <c r="AU89" i="1"/>
  <c r="BI89" i="1"/>
  <c r="AS89" i="1"/>
  <c r="AT89" i="1"/>
  <c r="AS61" i="1"/>
  <c r="BI61" i="1"/>
  <c r="BI9" i="1"/>
  <c r="BI14" i="1"/>
  <c r="AS14" i="1"/>
  <c r="AU14" i="1"/>
  <c r="AU18" i="1"/>
  <c r="BB30" i="1"/>
  <c r="AU34" i="1"/>
  <c r="AT34" i="1"/>
  <c r="BI46" i="1"/>
  <c r="AS46" i="1"/>
  <c r="AT46" i="1"/>
  <c r="BI67" i="1"/>
  <c r="AU67" i="1"/>
  <c r="AS67" i="1"/>
  <c r="BD162" i="1"/>
  <c r="BF162" i="1"/>
  <c r="BC162" i="1"/>
  <c r="BB162" i="1"/>
  <c r="BI8" i="1"/>
  <c r="Q404" i="1"/>
  <c r="R10" i="1"/>
  <c r="S10" i="1" s="1"/>
  <c r="S15" i="1"/>
  <c r="AU16" i="1"/>
  <c r="AS34" i="1"/>
  <c r="BD37" i="1"/>
  <c r="BC37" i="1"/>
  <c r="BB37" i="1"/>
  <c r="AU38" i="1"/>
  <c r="AS38" i="1"/>
  <c r="BI41" i="1"/>
  <c r="AS41" i="1"/>
  <c r="AT41" i="1"/>
  <c r="BI43" i="1"/>
  <c r="AW43" i="1"/>
  <c r="BB45" i="1"/>
  <c r="BF45" i="1"/>
  <c r="AU46" i="1"/>
  <c r="AW49" i="1"/>
  <c r="AT49" i="1"/>
  <c r="AS49" i="1"/>
  <c r="BI49" i="1"/>
  <c r="AU54" i="1"/>
  <c r="AU55" i="1"/>
  <c r="AS55" i="1"/>
  <c r="AU61" i="1"/>
  <c r="BD74" i="1"/>
  <c r="AT84" i="1"/>
  <c r="BI84" i="1"/>
  <c r="AS84" i="1"/>
  <c r="AW84" i="1"/>
  <c r="AU84" i="1"/>
  <c r="AW87" i="1"/>
  <c r="AU87" i="1"/>
  <c r="AT87" i="1"/>
  <c r="BI87" i="1"/>
  <c r="AS87" i="1"/>
  <c r="BD101" i="1"/>
  <c r="BF102" i="1"/>
  <c r="BC102" i="1"/>
  <c r="BB102" i="1"/>
  <c r="BD102" i="1"/>
  <c r="BF164" i="1"/>
  <c r="BC164" i="1"/>
  <c r="BD164" i="1"/>
  <c r="BB164" i="1"/>
  <c r="AT18" i="1"/>
  <c r="BI18" i="1"/>
  <c r="BI33" i="1"/>
  <c r="AS33" i="1"/>
  <c r="AU33" i="1"/>
  <c r="AW37" i="1"/>
  <c r="BI37" i="1"/>
  <c r="BH48" i="1"/>
  <c r="BD56" i="1"/>
  <c r="BD92" i="1"/>
  <c r="BC92" i="1"/>
  <c r="BB92" i="1"/>
  <c r="AU102" i="1"/>
  <c r="AT102" i="1"/>
  <c r="BI102" i="1"/>
  <c r="AU168" i="1"/>
  <c r="AS168" i="1"/>
  <c r="BI168" i="1"/>
  <c r="AT168" i="1"/>
  <c r="AS18" i="1"/>
  <c r="BD27" i="1"/>
  <c r="AT33" i="1"/>
  <c r="AS37" i="1"/>
  <c r="BB56" i="1"/>
  <c r="AU76" i="1"/>
  <c r="BI76" i="1"/>
  <c r="AS76" i="1"/>
  <c r="AW76" i="1"/>
  <c r="AT76" i="1"/>
  <c r="BD96" i="1"/>
  <c r="BC96" i="1"/>
  <c r="BF123" i="1"/>
  <c r="BD123" i="1"/>
  <c r="BB123" i="1"/>
  <c r="AS102" i="1"/>
  <c r="AT163" i="1"/>
  <c r="AU163" i="1"/>
  <c r="AS163" i="1"/>
  <c r="AS9" i="1"/>
  <c r="AT9" i="1"/>
  <c r="AT14" i="1"/>
  <c r="AU9" i="1"/>
  <c r="AU12" i="1"/>
  <c r="AT12" i="1"/>
  <c r="AS12" i="1"/>
  <c r="AW14" i="1"/>
  <c r="BC18" i="1"/>
  <c r="BB18" i="1"/>
  <c r="BI24" i="1"/>
  <c r="BC33" i="1"/>
  <c r="AW34" i="1"/>
  <c r="R42" i="1"/>
  <c r="AS43" i="1"/>
  <c r="BD45" i="1"/>
  <c r="BI47" i="1"/>
  <c r="AW47" i="1"/>
  <c r="AU49" i="1"/>
  <c r="AT58" i="1"/>
  <c r="BI58" i="1"/>
  <c r="AU58" i="1"/>
  <c r="AW67" i="1"/>
  <c r="BC70" i="1"/>
  <c r="BB70" i="1"/>
  <c r="BF74" i="1"/>
  <c r="BB75" i="1"/>
  <c r="BD84" i="1"/>
  <c r="BC84" i="1"/>
  <c r="BB84" i="1"/>
  <c r="BB101" i="1"/>
  <c r="AU106" i="1"/>
  <c r="AW106" i="1"/>
  <c r="AT106" i="1"/>
  <c r="AS106" i="1"/>
  <c r="BI134" i="1"/>
  <c r="AS134" i="1"/>
  <c r="AU134" i="1"/>
  <c r="AT134" i="1"/>
  <c r="S144" i="1"/>
  <c r="AU174" i="1"/>
  <c r="AT174" i="1"/>
  <c r="AS174" i="1"/>
  <c r="BI174" i="1"/>
  <c r="BH248" i="1"/>
  <c r="BI19" i="1"/>
  <c r="AS19" i="1"/>
  <c r="AU19" i="1"/>
  <c r="AT19" i="1"/>
  <c r="AT26" i="1"/>
  <c r="BI26" i="1"/>
  <c r="AS26" i="1"/>
  <c r="AU26" i="1"/>
  <c r="BI29" i="1"/>
  <c r="AU29" i="1"/>
  <c r="BC34" i="1"/>
  <c r="BB34" i="1"/>
  <c r="AU41" i="1"/>
  <c r="BH43" i="1"/>
  <c r="AW46" i="1"/>
  <c r="BF51" i="1"/>
  <c r="BD51" i="1"/>
  <c r="BH57" i="1"/>
  <c r="AT59" i="1"/>
  <c r="AU59" i="1"/>
  <c r="AS59" i="1"/>
  <c r="BB64" i="1"/>
  <c r="BD64" i="1"/>
  <c r="BC64" i="1"/>
  <c r="AU78" i="1"/>
  <c r="AT78" i="1"/>
  <c r="BI78" i="1"/>
  <c r="AS78" i="1"/>
  <c r="BH82" i="1"/>
  <c r="BD114" i="1"/>
  <c r="BB114" i="1"/>
  <c r="BC114" i="1"/>
  <c r="BC115" i="1"/>
  <c r="BF115" i="1"/>
  <c r="BD115" i="1"/>
  <c r="BB115" i="1"/>
  <c r="BI137" i="1"/>
  <c r="BD207" i="1"/>
  <c r="BB207" i="1"/>
  <c r="BC207" i="1"/>
  <c r="BF207" i="1"/>
  <c r="BI207" i="1"/>
  <c r="AW44" i="1"/>
  <c r="AU44" i="1"/>
  <c r="AT44" i="1"/>
  <c r="BB46" i="1"/>
  <c r="BD46" i="1"/>
  <c r="BC46" i="1"/>
  <c r="BB65" i="1"/>
  <c r="BF65" i="1"/>
  <c r="BD65" i="1"/>
  <c r="BD79" i="1"/>
  <c r="BB79" i="1"/>
  <c r="BC79" i="1"/>
  <c r="BB87" i="1"/>
  <c r="BD87" i="1"/>
  <c r="BC87" i="1"/>
  <c r="S103" i="1"/>
  <c r="AW113" i="1"/>
  <c r="AU113" i="1"/>
  <c r="BI113" i="1"/>
  <c r="AT113" i="1"/>
  <c r="AS113" i="1"/>
  <c r="S117" i="1"/>
  <c r="BD132" i="1"/>
  <c r="BF132" i="1"/>
  <c r="BB132" i="1"/>
  <c r="AT147" i="1"/>
  <c r="AS147" i="1"/>
  <c r="AU147" i="1"/>
  <c r="BI147" i="1"/>
  <c r="AU159" i="1"/>
  <c r="BI159" i="1"/>
  <c r="AT159" i="1"/>
  <c r="AS159" i="1"/>
  <c r="BD227" i="1"/>
  <c r="BI227" i="1"/>
  <c r="BF227" i="1"/>
  <c r="BB227" i="1"/>
  <c r="BC227" i="1"/>
  <c r="AT8" i="1"/>
  <c r="AU20" i="1"/>
  <c r="AT20" i="1"/>
  <c r="AS20" i="1"/>
  <c r="BC25" i="1"/>
  <c r="AT29" i="1"/>
  <c r="AT32" i="1"/>
  <c r="BI32" i="1"/>
  <c r="BD34" i="1"/>
  <c r="AS44" i="1"/>
  <c r="BH47" i="1"/>
  <c r="BC51" i="1"/>
  <c r="BI52" i="1"/>
  <c r="BB55" i="1"/>
  <c r="BF64" i="1"/>
  <c r="BC65" i="1"/>
  <c r="BH72" i="1"/>
  <c r="BD82" i="1"/>
  <c r="BC82" i="1"/>
  <c r="BI82" i="1"/>
  <c r="BB82" i="1"/>
  <c r="BI105" i="1"/>
  <c r="AS105" i="1"/>
  <c r="AW105" i="1"/>
  <c r="AU105" i="1"/>
  <c r="AT105" i="1"/>
  <c r="AU112" i="1"/>
  <c r="AT112" i="1"/>
  <c r="BI112" i="1"/>
  <c r="AS112" i="1"/>
  <c r="BB134" i="1"/>
  <c r="BC134" i="1"/>
  <c r="BD134" i="1"/>
  <c r="AB143" i="1"/>
  <c r="BB159" i="1"/>
  <c r="BF159" i="1"/>
  <c r="BD159" i="1"/>
  <c r="BC159" i="1"/>
  <c r="AU8" i="1"/>
  <c r="BD23" i="1"/>
  <c r="BB23" i="1"/>
  <c r="AS32" i="1"/>
  <c r="AW56" i="1"/>
  <c r="AU56" i="1"/>
  <c r="AS62" i="1"/>
  <c r="BD68" i="1"/>
  <c r="BB68" i="1"/>
  <c r="AS69" i="1"/>
  <c r="AU110" i="1"/>
  <c r="AT110" i="1"/>
  <c r="BI110" i="1"/>
  <c r="AS110" i="1"/>
  <c r="BC120" i="1"/>
  <c r="Q120" i="1"/>
  <c r="R120" i="1" s="1"/>
  <c r="BC132" i="1"/>
  <c r="BI136" i="1"/>
  <c r="AU136" i="1"/>
  <c r="AT136" i="1"/>
  <c r="AS136" i="1"/>
  <c r="BF139" i="1"/>
  <c r="BC139" i="1"/>
  <c r="BD139" i="1"/>
  <c r="BB139" i="1"/>
  <c r="AW88" i="1"/>
  <c r="AT88" i="1"/>
  <c r="BI88" i="1"/>
  <c r="AS88" i="1"/>
  <c r="AW98" i="1"/>
  <c r="AU98" i="1"/>
  <c r="BI98" i="1"/>
  <c r="AS98" i="1"/>
  <c r="AT98" i="1"/>
  <c r="BH36" i="1"/>
  <c r="BF62" i="1"/>
  <c r="AW97" i="1"/>
  <c r="AU97" i="1"/>
  <c r="AT97" i="1"/>
  <c r="BI97" i="1"/>
  <c r="AT170" i="1"/>
  <c r="AS170" i="1"/>
  <c r="AU170" i="1"/>
  <c r="BI170" i="1"/>
  <c r="BD35" i="1"/>
  <c r="BC35" i="1"/>
  <c r="AT37" i="1"/>
  <c r="AU65" i="1"/>
  <c r="AT65" i="1"/>
  <c r="BI65" i="1"/>
  <c r="AS65" i="1"/>
  <c r="BI116" i="1"/>
  <c r="AS116" i="1"/>
  <c r="AU116" i="1"/>
  <c r="AT116" i="1"/>
  <c r="AW10" i="1"/>
  <c r="AS10" i="1"/>
  <c r="BC21" i="1"/>
  <c r="BB21" i="1"/>
  <c r="BD26" i="1"/>
  <c r="BC26" i="1"/>
  <c r="BD14" i="1"/>
  <c r="BC16" i="1"/>
  <c r="BB19" i="1"/>
  <c r="AU10" i="1"/>
  <c r="R14" i="1"/>
  <c r="S14" i="1" s="1"/>
  <c r="BC14" i="1"/>
  <c r="BD16" i="1"/>
  <c r="AU32" i="1"/>
  <c r="BI42" i="1"/>
  <c r="AT52" i="1"/>
  <c r="BD55" i="1"/>
  <c r="AS56" i="1"/>
  <c r="BC59" i="1"/>
  <c r="BB59" i="1"/>
  <c r="Q61" i="1"/>
  <c r="BC61" i="1"/>
  <c r="P61" i="1"/>
  <c r="AT62" i="1"/>
  <c r="AT69" i="1"/>
  <c r="AU104" i="1"/>
  <c r="AT104" i="1"/>
  <c r="BI104" i="1"/>
  <c r="AS104" i="1"/>
  <c r="AW104" i="1"/>
  <c r="BB111" i="1"/>
  <c r="BC113" i="1"/>
  <c r="BB113" i="1"/>
  <c r="BD113" i="1"/>
  <c r="BI132" i="1"/>
  <c r="BF134" i="1"/>
  <c r="AW20" i="1"/>
  <c r="AU22" i="1"/>
  <c r="BF26" i="1"/>
  <c r="AT30" i="1"/>
  <c r="AS30" i="1"/>
  <c r="BI34" i="1"/>
  <c r="AU39" i="1"/>
  <c r="AT39" i="1"/>
  <c r="BI39" i="1"/>
  <c r="BD41" i="1"/>
  <c r="BC41" i="1"/>
  <c r="BB41" i="1"/>
  <c r="BD44" i="1"/>
  <c r="BC44" i="1"/>
  <c r="AU53" i="1"/>
  <c r="AS53" i="1"/>
  <c r="AT56" i="1"/>
  <c r="R61" i="1"/>
  <c r="S61" i="1" s="1"/>
  <c r="AU62" i="1"/>
  <c r="BM68" i="1"/>
  <c r="AT68" i="1"/>
  <c r="P68" i="1"/>
  <c r="BC68" i="1"/>
  <c r="AU99" i="1"/>
  <c r="AT99" i="1"/>
  <c r="AW99" i="1"/>
  <c r="AS99" i="1"/>
  <c r="BI99" i="1"/>
  <c r="BB110" i="1"/>
  <c r="BF110" i="1"/>
  <c r="BC111" i="1"/>
  <c r="BH129" i="1"/>
  <c r="BF220" i="1"/>
  <c r="BD220" i="1"/>
  <c r="BC220" i="1"/>
  <c r="BI220" i="1"/>
  <c r="BB220" i="1"/>
  <c r="AU222" i="1"/>
  <c r="AT222" i="1"/>
  <c r="BI222" i="1"/>
  <c r="AS222" i="1"/>
  <c r="BB25" i="1"/>
  <c r="AU28" i="1"/>
  <c r="AT28" i="1"/>
  <c r="BB29" i="1"/>
  <c r="AU30" i="1"/>
  <c r="BD36" i="1"/>
  <c r="BB44" i="1"/>
  <c r="BD47" i="1"/>
  <c r="AW48" i="1"/>
  <c r="BI48" i="1"/>
  <c r="BD52" i="1"/>
  <c r="BC52" i="1"/>
  <c r="BB52" i="1"/>
  <c r="Q55" i="1"/>
  <c r="R55" i="1" s="1"/>
  <c r="BM55" i="1"/>
  <c r="AT55" i="1"/>
  <c r="BI55" i="1"/>
  <c r="BD59" i="1"/>
  <c r="AT67" i="1"/>
  <c r="Q67" i="1"/>
  <c r="R67" i="1" s="1"/>
  <c r="S67" i="1" s="1"/>
  <c r="BC67" i="1"/>
  <c r="P67" i="1"/>
  <c r="BF111" i="1"/>
  <c r="BF112" i="1"/>
  <c r="BD112" i="1"/>
  <c r="BC112" i="1"/>
  <c r="BB112" i="1"/>
  <c r="BD131" i="1"/>
  <c r="BF131" i="1"/>
  <c r="BC131" i="1"/>
  <c r="BB131" i="1"/>
  <c r="BF191" i="1"/>
  <c r="BB191" i="1"/>
  <c r="BD191" i="1"/>
  <c r="BC191" i="1"/>
  <c r="BB201" i="1"/>
  <c r="BF201" i="1"/>
  <c r="BD201" i="1"/>
  <c r="BC201" i="1"/>
  <c r="AP400" i="1"/>
  <c r="F403" i="1" s="1"/>
  <c r="AR7" i="1"/>
  <c r="AQ400" i="1"/>
  <c r="BC27" i="1"/>
  <c r="BB27" i="1"/>
  <c r="BC29" i="1"/>
  <c r="AW30" i="1"/>
  <c r="BC32" i="1"/>
  <c r="BB32" i="1"/>
  <c r="BD32" i="1"/>
  <c r="BB36" i="1"/>
  <c r="BF41" i="1"/>
  <c r="BH42" i="1"/>
  <c r="AT53" i="1"/>
  <c r="AS57" i="1"/>
  <c r="AR63" i="1"/>
  <c r="Q68" i="1"/>
  <c r="R68" i="1" s="1"/>
  <c r="S68" i="1" s="1"/>
  <c r="BI68" i="1"/>
  <c r="BF69" i="1"/>
  <c r="BD69" i="1"/>
  <c r="BC69" i="1"/>
  <c r="BB69" i="1"/>
  <c r="AR103" i="1"/>
  <c r="AW117" i="1"/>
  <c r="AU117" i="1"/>
  <c r="AS117" i="1"/>
  <c r="BI117" i="1"/>
  <c r="AT117" i="1"/>
  <c r="BF130" i="1"/>
  <c r="BD130" i="1"/>
  <c r="BI130" i="1"/>
  <c r="BC130" i="1"/>
  <c r="BB130" i="1"/>
  <c r="S200" i="1"/>
  <c r="BB216" i="1"/>
  <c r="BD216" i="1"/>
  <c r="BC216" i="1"/>
  <c r="BF216" i="1"/>
  <c r="R20" i="1"/>
  <c r="S20" i="1" s="1"/>
  <c r="AR27" i="1"/>
  <c r="BC56" i="1"/>
  <c r="R70" i="1"/>
  <c r="AR75" i="1"/>
  <c r="BC76" i="1"/>
  <c r="AT79" i="1"/>
  <c r="BI81" i="1"/>
  <c r="AS81" i="1"/>
  <c r="AW81" i="1"/>
  <c r="BD85" i="1"/>
  <c r="BC85" i="1"/>
  <c r="BB85" i="1"/>
  <c r="AS86" i="1"/>
  <c r="BA93" i="1"/>
  <c r="BD94" i="1"/>
  <c r="BB94" i="1"/>
  <c r="BD95" i="1"/>
  <c r="BB95" i="1"/>
  <c r="AS96" i="1"/>
  <c r="R98" i="1"/>
  <c r="BB100" i="1"/>
  <c r="AW101" i="1"/>
  <c r="AU101" i="1"/>
  <c r="BI101" i="1"/>
  <c r="AS101" i="1"/>
  <c r="P105" i="1"/>
  <c r="BM105" i="1"/>
  <c r="BD108" i="1"/>
  <c r="BB108" i="1"/>
  <c r="AR111" i="1"/>
  <c r="BD120" i="1"/>
  <c r="BF120" i="1"/>
  <c r="BB120" i="1"/>
  <c r="BA121" i="1"/>
  <c r="BA127" i="1"/>
  <c r="BI127" i="1" s="1"/>
  <c r="BC145" i="1"/>
  <c r="BB145" i="1"/>
  <c r="BF145" i="1"/>
  <c r="AB147" i="1"/>
  <c r="BD174" i="1"/>
  <c r="BF174" i="1"/>
  <c r="BB174" i="1"/>
  <c r="BC174" i="1"/>
  <c r="BC190" i="1"/>
  <c r="BB190" i="1"/>
  <c r="BI190" i="1"/>
  <c r="BD190" i="1"/>
  <c r="BF190" i="1"/>
  <c r="AT54" i="1"/>
  <c r="BA54" i="1"/>
  <c r="BI54" i="1" s="1"/>
  <c r="AR71" i="1"/>
  <c r="AR77" i="1"/>
  <c r="BA80" i="1"/>
  <c r="AW86" i="1"/>
  <c r="R91" i="1"/>
  <c r="AT96" i="1"/>
  <c r="BB128" i="1"/>
  <c r="BD128" i="1"/>
  <c r="BD133" i="1"/>
  <c r="BB133" i="1"/>
  <c r="BF133" i="1"/>
  <c r="AL137" i="1"/>
  <c r="BB141" i="1"/>
  <c r="BD141" i="1"/>
  <c r="BC141" i="1"/>
  <c r="BB153" i="1"/>
  <c r="BC153" i="1"/>
  <c r="BF153" i="1"/>
  <c r="AU165" i="1"/>
  <c r="BI165" i="1"/>
  <c r="AT165" i="1"/>
  <c r="AS165" i="1"/>
  <c r="AS191" i="1"/>
  <c r="BI191" i="1"/>
  <c r="AU191" i="1"/>
  <c r="AT191" i="1"/>
  <c r="BI193" i="1"/>
  <c r="AS193" i="1"/>
  <c r="AT193" i="1"/>
  <c r="AU193" i="1"/>
  <c r="AS197" i="1"/>
  <c r="AT197" i="1"/>
  <c r="BI197" i="1"/>
  <c r="BB165" i="1"/>
  <c r="BD165" i="1"/>
  <c r="BF165" i="1"/>
  <c r="BC165" i="1"/>
  <c r="BF186" i="1"/>
  <c r="BD186" i="1"/>
  <c r="BB186" i="1"/>
  <c r="BC186" i="1"/>
  <c r="BH186" i="1" s="1"/>
  <c r="AB211" i="1"/>
  <c r="AL211" i="1"/>
  <c r="AT230" i="1"/>
  <c r="AU230" i="1"/>
  <c r="AS230" i="1"/>
  <c r="BI230" i="1"/>
  <c r="BD231" i="1"/>
  <c r="BC231" i="1"/>
  <c r="BB231" i="1"/>
  <c r="AB140" i="1"/>
  <c r="AK140" i="1"/>
  <c r="AL140" i="1" s="1"/>
  <c r="BB142" i="1"/>
  <c r="BF142" i="1"/>
  <c r="BC142" i="1"/>
  <c r="BI142" i="1"/>
  <c r="BB166" i="1"/>
  <c r="BF166" i="1"/>
  <c r="BD166" i="1"/>
  <c r="BC166" i="1"/>
  <c r="BB168" i="1"/>
  <c r="BD168" i="1"/>
  <c r="BC168" i="1"/>
  <c r="BF168" i="1"/>
  <c r="S175" i="1"/>
  <c r="BB193" i="1"/>
  <c r="BF193" i="1"/>
  <c r="BD193" i="1"/>
  <c r="BF146" i="1"/>
  <c r="BD146" i="1"/>
  <c r="BB146" i="1"/>
  <c r="BC154" i="1"/>
  <c r="BF154" i="1"/>
  <c r="BB154" i="1"/>
  <c r="BI154" i="1"/>
  <c r="AT155" i="1"/>
  <c r="AS155" i="1"/>
  <c r="AU155" i="1"/>
  <c r="AB181" i="1"/>
  <c r="AL181" i="1"/>
  <c r="BF192" i="1"/>
  <c r="BD192" i="1"/>
  <c r="BC192" i="1"/>
  <c r="BB192" i="1"/>
  <c r="BC193" i="1"/>
  <c r="BF78" i="1"/>
  <c r="BD78" i="1"/>
  <c r="AU91" i="1"/>
  <c r="AT91" i="1"/>
  <c r="BI91" i="1"/>
  <c r="AS91" i="1"/>
  <c r="BD170" i="1"/>
  <c r="BB170" i="1"/>
  <c r="BC170" i="1"/>
  <c r="AB185" i="1"/>
  <c r="BI212" i="1"/>
  <c r="AS212" i="1"/>
  <c r="AU212" i="1"/>
  <c r="AT212" i="1"/>
  <c r="AU64" i="1"/>
  <c r="AT64" i="1"/>
  <c r="AU79" i="1"/>
  <c r="BI79" i="1"/>
  <c r="AS79" i="1"/>
  <c r="AU83" i="1"/>
  <c r="AT83" i="1"/>
  <c r="AU92" i="1"/>
  <c r="AT92" i="1"/>
  <c r="BI92" i="1"/>
  <c r="AS92" i="1"/>
  <c r="BB116" i="1"/>
  <c r="BF116" i="1"/>
  <c r="BD142" i="1"/>
  <c r="S146" i="1"/>
  <c r="S154" i="1"/>
  <c r="BD154" i="1"/>
  <c r="BA13" i="1"/>
  <c r="BI15" i="1"/>
  <c r="AS83" i="1"/>
  <c r="BD98" i="1"/>
  <c r="BB98" i="1"/>
  <c r="BD103" i="1"/>
  <c r="BC103" i="1"/>
  <c r="AW118" i="1"/>
  <c r="AU118" i="1"/>
  <c r="AT118" i="1"/>
  <c r="BF136" i="1"/>
  <c r="BD136" i="1"/>
  <c r="BB136" i="1"/>
  <c r="BC136" i="1"/>
  <c r="AK142" i="1"/>
  <c r="AL142" i="1" s="1"/>
  <c r="AB142" i="1"/>
  <c r="BC146" i="1"/>
  <c r="BB147" i="1"/>
  <c r="BF147" i="1"/>
  <c r="BD147" i="1"/>
  <c r="AR149" i="1"/>
  <c r="AT150" i="1"/>
  <c r="AU150" i="1"/>
  <c r="AS150" i="1"/>
  <c r="BF170" i="1"/>
  <c r="AT199" i="1"/>
  <c r="BI199" i="1"/>
  <c r="AS199" i="1"/>
  <c r="BI213" i="1"/>
  <c r="AS213" i="1"/>
  <c r="AT213" i="1"/>
  <c r="AU213" i="1"/>
  <c r="AW91" i="1"/>
  <c r="BB138" i="1"/>
  <c r="BD138" i="1"/>
  <c r="BI138" i="1"/>
  <c r="BF138" i="1"/>
  <c r="BC155" i="1"/>
  <c r="BB155" i="1"/>
  <c r="BF155" i="1"/>
  <c r="BD155" i="1"/>
  <c r="AU157" i="1"/>
  <c r="AT157" i="1"/>
  <c r="AS157" i="1"/>
  <c r="BI157" i="1"/>
  <c r="AL159" i="1"/>
  <c r="AS161" i="1"/>
  <c r="AU161" i="1"/>
  <c r="BI161" i="1"/>
  <c r="AT161" i="1"/>
  <c r="AT182" i="1"/>
  <c r="BI182" i="1"/>
  <c r="AU182" i="1"/>
  <c r="AS182" i="1"/>
  <c r="AU183" i="1"/>
  <c r="BI183" i="1"/>
  <c r="AT183" i="1"/>
  <c r="AS183" i="1"/>
  <c r="BI195" i="1"/>
  <c r="AS195" i="1"/>
  <c r="AT195" i="1"/>
  <c r="AU206" i="1"/>
  <c r="AT206" i="1"/>
  <c r="AS206" i="1"/>
  <c r="E403" i="1"/>
  <c r="G403" i="1" s="1"/>
  <c r="G401" i="1" s="1"/>
  <c r="BC45" i="1"/>
  <c r="AT45" i="1"/>
  <c r="AS64" i="1"/>
  <c r="BC71" i="1"/>
  <c r="P71" i="1"/>
  <c r="BB71" i="1"/>
  <c r="BB78" i="1"/>
  <c r="BD97" i="1"/>
  <c r="BC97" i="1"/>
  <c r="BB97" i="1"/>
  <c r="BD105" i="1"/>
  <c r="BB105" i="1"/>
  <c r="BC116" i="1"/>
  <c r="AU122" i="1"/>
  <c r="AT122" i="1"/>
  <c r="AS122" i="1"/>
  <c r="BI122" i="1"/>
  <c r="BI123" i="1"/>
  <c r="AS123" i="1"/>
  <c r="AT123" i="1"/>
  <c r="AU123" i="1"/>
  <c r="BC143" i="1"/>
  <c r="BD143" i="1"/>
  <c r="BF143" i="1"/>
  <c r="AY400" i="1"/>
  <c r="F404" i="1" s="1"/>
  <c r="BA7" i="1"/>
  <c r="AT16" i="1"/>
  <c r="BA40" i="1"/>
  <c r="BI40" i="1" s="1"/>
  <c r="Q45" i="1"/>
  <c r="R45" i="1" s="1"/>
  <c r="S45" i="1" s="1"/>
  <c r="BM54" i="1"/>
  <c r="BA66" i="1"/>
  <c r="AS70" i="1"/>
  <c r="R71" i="1"/>
  <c r="BC78" i="1"/>
  <c r="AW79" i="1"/>
  <c r="AW90" i="1"/>
  <c r="AU90" i="1"/>
  <c r="BI90" i="1"/>
  <c r="AS90" i="1"/>
  <c r="BD91" i="1"/>
  <c r="BC91" i="1"/>
  <c r="AW92" i="1"/>
  <c r="BB103" i="1"/>
  <c r="AU107" i="1"/>
  <c r="AT107" i="1"/>
  <c r="BD116" i="1"/>
  <c r="BI120" i="1"/>
  <c r="AU120" i="1"/>
  <c r="AJ133" i="1"/>
  <c r="AK133" i="1" s="1"/>
  <c r="AL133" i="1" s="1"/>
  <c r="BB143" i="1"/>
  <c r="AU151" i="1"/>
  <c r="AT151" i="1"/>
  <c r="AS151" i="1"/>
  <c r="AK153" i="1"/>
  <c r="AL153" i="1" s="1"/>
  <c r="BI155" i="1"/>
  <c r="BD210" i="1"/>
  <c r="BB210" i="1"/>
  <c r="BF210" i="1"/>
  <c r="BC210" i="1"/>
  <c r="BD211" i="1"/>
  <c r="BB211" i="1"/>
  <c r="BF211" i="1"/>
  <c r="AU72" i="1"/>
  <c r="AR85" i="1"/>
  <c r="BF89" i="1"/>
  <c r="BD89" i="1"/>
  <c r="BC89" i="1"/>
  <c r="BD90" i="1"/>
  <c r="BB90" i="1"/>
  <c r="BI94" i="1"/>
  <c r="AS94" i="1"/>
  <c r="AW94" i="1"/>
  <c r="BI95" i="1"/>
  <c r="AS95" i="1"/>
  <c r="AW95" i="1"/>
  <c r="AW100" i="1"/>
  <c r="AU100" i="1"/>
  <c r="AT100" i="1"/>
  <c r="BI100" i="1"/>
  <c r="AS100" i="1"/>
  <c r="BD104" i="1"/>
  <c r="BC104" i="1"/>
  <c r="BB104" i="1"/>
  <c r="BD106" i="1"/>
  <c r="BC106" i="1"/>
  <c r="BB106" i="1"/>
  <c r="AR108" i="1"/>
  <c r="AW119" i="1"/>
  <c r="AU119" i="1"/>
  <c r="AT119" i="1"/>
  <c r="AS121" i="1"/>
  <c r="AW125" i="1"/>
  <c r="AS125" i="1"/>
  <c r="AT125" i="1"/>
  <c r="BI128" i="1"/>
  <c r="AS128" i="1"/>
  <c r="AW128" i="1"/>
  <c r="AU128" i="1"/>
  <c r="AT128" i="1"/>
  <c r="AU129" i="1"/>
  <c r="AS129" i="1"/>
  <c r="AT141" i="1"/>
  <c r="AU141" i="1"/>
  <c r="AS141" i="1"/>
  <c r="AW141" i="1"/>
  <c r="BI141" i="1"/>
  <c r="AU145" i="1"/>
  <c r="AT145" i="1"/>
  <c r="AS145" i="1"/>
  <c r="BI145" i="1"/>
  <c r="BI152" i="1"/>
  <c r="BF160" i="1"/>
  <c r="BC160" i="1"/>
  <c r="BD160" i="1"/>
  <c r="BB160" i="1"/>
  <c r="AL166" i="1"/>
  <c r="AT179" i="1"/>
  <c r="AW179" i="1"/>
  <c r="AU179" i="1"/>
  <c r="AS179" i="1"/>
  <c r="BI179" i="1"/>
  <c r="AU180" i="1"/>
  <c r="AS180" i="1"/>
  <c r="BI180" i="1"/>
  <c r="AT180" i="1"/>
  <c r="AU74" i="1"/>
  <c r="BI74" i="1"/>
  <c r="AS74" i="1"/>
  <c r="BF83" i="1"/>
  <c r="BD83" i="1"/>
  <c r="BC83" i="1"/>
  <c r="BB83" i="1"/>
  <c r="AU86" i="1"/>
  <c r="AT86" i="1"/>
  <c r="BB89" i="1"/>
  <c r="BH94" i="1"/>
  <c r="BH95" i="1"/>
  <c r="AW109" i="1"/>
  <c r="AU109" i="1"/>
  <c r="AT109" i="1"/>
  <c r="BB122" i="1"/>
  <c r="BD122" i="1"/>
  <c r="AU127" i="1"/>
  <c r="AT127" i="1"/>
  <c r="AS127" i="1"/>
  <c r="AU131" i="1"/>
  <c r="AT131" i="1"/>
  <c r="AS131" i="1"/>
  <c r="BI131" i="1"/>
  <c r="AU132" i="1"/>
  <c r="AT132" i="1"/>
  <c r="AS132" i="1"/>
  <c r="AT133" i="1"/>
  <c r="AU133" i="1"/>
  <c r="AS133" i="1"/>
  <c r="BI133" i="1"/>
  <c r="BD140" i="1"/>
  <c r="BB140" i="1"/>
  <c r="BI162" i="1"/>
  <c r="AS162" i="1"/>
  <c r="AU162" i="1"/>
  <c r="AT162" i="1"/>
  <c r="BI172" i="1"/>
  <c r="AS172" i="1"/>
  <c r="AU172" i="1"/>
  <c r="AT172" i="1"/>
  <c r="AU173" i="1"/>
  <c r="BI173" i="1"/>
  <c r="AS173" i="1"/>
  <c r="AT173" i="1"/>
  <c r="BB178" i="1"/>
  <c r="BD178" i="1"/>
  <c r="BC178" i="1"/>
  <c r="BF178" i="1"/>
  <c r="BC179" i="1"/>
  <c r="BD179" i="1"/>
  <c r="BB179" i="1"/>
  <c r="BD181" i="1"/>
  <c r="BC181" i="1"/>
  <c r="BF181" i="1"/>
  <c r="BH190" i="1"/>
  <c r="BC217" i="1"/>
  <c r="BD217" i="1"/>
  <c r="BB217" i="1"/>
  <c r="E404" i="1"/>
  <c r="G404" i="1" s="1"/>
  <c r="E401" i="1"/>
  <c r="BC63" i="1"/>
  <c r="Q79" i="1"/>
  <c r="R79" i="1" s="1"/>
  <c r="S79" i="1" s="1"/>
  <c r="AW80" i="1"/>
  <c r="AW93" i="1"/>
  <c r="BC101" i="1"/>
  <c r="BC123" i="1"/>
  <c r="AL134" i="1"/>
  <c r="AL150" i="1"/>
  <c r="AU152" i="1"/>
  <c r="BF169" i="1"/>
  <c r="AR171" i="1"/>
  <c r="AL173" i="1"/>
  <c r="AL189" i="1"/>
  <c r="BC195" i="1"/>
  <c r="BD195" i="1"/>
  <c r="AR196" i="1"/>
  <c r="AL204" i="1"/>
  <c r="AB204" i="1"/>
  <c r="BI205" i="1"/>
  <c r="R207" i="1"/>
  <c r="BD209" i="1"/>
  <c r="BC209" i="1"/>
  <c r="BF209" i="1"/>
  <c r="AR124" i="1"/>
  <c r="BA137" i="1"/>
  <c r="AT158" i="1"/>
  <c r="AU158" i="1"/>
  <c r="BA177" i="1"/>
  <c r="BA182" i="1"/>
  <c r="AL193" i="1"/>
  <c r="AB193" i="1"/>
  <c r="BI201" i="1"/>
  <c r="AU201" i="1"/>
  <c r="AL206" i="1"/>
  <c r="AB206" i="1"/>
  <c r="BI208" i="1"/>
  <c r="AT208" i="1"/>
  <c r="AS208" i="1"/>
  <c r="AS215" i="1"/>
  <c r="AU215" i="1"/>
  <c r="BD229" i="1"/>
  <c r="BB229" i="1"/>
  <c r="AT135" i="1"/>
  <c r="BI143" i="1"/>
  <c r="BA149" i="1"/>
  <c r="BF156" i="1"/>
  <c r="BD156" i="1"/>
  <c r="BA163" i="1"/>
  <c r="BI178" i="1"/>
  <c r="AS178" i="1"/>
  <c r="AU192" i="1"/>
  <c r="AT192" i="1"/>
  <c r="BI192" i="1"/>
  <c r="AT194" i="1"/>
  <c r="AU194" i="1"/>
  <c r="BI194" i="1"/>
  <c r="AS201" i="1"/>
  <c r="AR210" i="1"/>
  <c r="AT215" i="1"/>
  <c r="BF229" i="1"/>
  <c r="AL237" i="1"/>
  <c r="AB237" i="1"/>
  <c r="AS261" i="1"/>
  <c r="BI261" i="1"/>
  <c r="AU261" i="1"/>
  <c r="AT261" i="1"/>
  <c r="BH115" i="1"/>
  <c r="R158" i="1"/>
  <c r="S158" i="1" s="1"/>
  <c r="AB159" i="1"/>
  <c r="R162" i="1"/>
  <c r="S162" i="1" s="1"/>
  <c r="AL163" i="1"/>
  <c r="BF172" i="1"/>
  <c r="BB172" i="1"/>
  <c r="BI176" i="1"/>
  <c r="AS176" i="1"/>
  <c r="AT176" i="1"/>
  <c r="AL179" i="1"/>
  <c r="BD184" i="1"/>
  <c r="BC184" i="1"/>
  <c r="BI187" i="1"/>
  <c r="AS187" i="1"/>
  <c r="AU187" i="1"/>
  <c r="BD199" i="1"/>
  <c r="BC199" i="1"/>
  <c r="AB209" i="1"/>
  <c r="AL209" i="1"/>
  <c r="BD212" i="1"/>
  <c r="BB212" i="1"/>
  <c r="AU219" i="1"/>
  <c r="AS219" i="1"/>
  <c r="AT219" i="1"/>
  <c r="AU226" i="1"/>
  <c r="AS226" i="1"/>
  <c r="BI226" i="1"/>
  <c r="AL229" i="1"/>
  <c r="AB229" i="1"/>
  <c r="P98" i="1"/>
  <c r="P108" i="1"/>
  <c r="P404" i="1" s="1"/>
  <c r="BI115" i="1"/>
  <c r="AB136" i="1"/>
  <c r="AL136" i="1"/>
  <c r="AS144" i="1"/>
  <c r="BA151" i="1"/>
  <c r="BC156" i="1"/>
  <c r="AB163" i="1"/>
  <c r="AK164" i="1"/>
  <c r="AL164" i="1" s="1"/>
  <c r="AB166" i="1"/>
  <c r="AR169" i="1"/>
  <c r="BC172" i="1"/>
  <c r="AL175" i="1"/>
  <c r="AU176" i="1"/>
  <c r="AU178" i="1"/>
  <c r="BA180" i="1"/>
  <c r="BB184" i="1"/>
  <c r="AT187" i="1"/>
  <c r="AS194" i="1"/>
  <c r="BB199" i="1"/>
  <c r="AK200" i="1"/>
  <c r="AL200" i="1" s="1"/>
  <c r="BA205" i="1"/>
  <c r="BC212" i="1"/>
  <c r="BD218" i="1"/>
  <c r="BF218" i="1"/>
  <c r="BC218" i="1"/>
  <c r="BB218" i="1"/>
  <c r="AT226" i="1"/>
  <c r="BD230" i="1"/>
  <c r="BC230" i="1"/>
  <c r="BB230" i="1"/>
  <c r="BF230" i="1"/>
  <c r="AU233" i="1"/>
  <c r="BI233" i="1"/>
  <c r="AT233" i="1"/>
  <c r="AS233" i="1"/>
  <c r="AT253" i="1"/>
  <c r="AU253" i="1"/>
  <c r="AS253" i="1"/>
  <c r="BI253" i="1"/>
  <c r="BI260" i="1"/>
  <c r="AS260" i="1"/>
  <c r="AU260" i="1"/>
  <c r="AT260" i="1"/>
  <c r="BD171" i="1"/>
  <c r="BC171" i="1"/>
  <c r="BF171" i="1"/>
  <c r="AU181" i="1"/>
  <c r="AS181" i="1"/>
  <c r="BI181" i="1"/>
  <c r="AU185" i="1"/>
  <c r="AS185" i="1"/>
  <c r="AT185" i="1"/>
  <c r="BF196" i="1"/>
  <c r="BD196" i="1"/>
  <c r="BI204" i="1"/>
  <c r="AS204" i="1"/>
  <c r="AW204" i="1"/>
  <c r="AU204" i="1"/>
  <c r="BB219" i="1"/>
  <c r="BC219" i="1"/>
  <c r="BF219" i="1"/>
  <c r="BF226" i="1"/>
  <c r="BD226" i="1"/>
  <c r="BB226" i="1"/>
  <c r="BC226" i="1"/>
  <c r="AL228" i="1"/>
  <c r="AB228" i="1"/>
  <c r="BB233" i="1"/>
  <c r="BF233" i="1"/>
  <c r="BC233" i="1"/>
  <c r="BD233" i="1"/>
  <c r="BC343" i="1"/>
  <c r="BB343" i="1"/>
  <c r="BF343" i="1"/>
  <c r="BD343" i="1"/>
  <c r="BI114" i="1"/>
  <c r="P72" i="1"/>
  <c r="P403" i="1" s="1"/>
  <c r="BB107" i="1"/>
  <c r="AS114" i="1"/>
  <c r="AS115" i="1"/>
  <c r="BB118" i="1"/>
  <c r="BB119" i="1"/>
  <c r="BB125" i="1"/>
  <c r="R129" i="1"/>
  <c r="S129" i="1" s="1"/>
  <c r="AT143" i="1"/>
  <c r="AU144" i="1"/>
  <c r="BI146" i="1"/>
  <c r="AL158" i="1"/>
  <c r="BC158" i="1"/>
  <c r="BI164" i="1"/>
  <c r="AS164" i="1"/>
  <c r="AT164" i="1"/>
  <c r="BB171" i="1"/>
  <c r="AK177" i="1"/>
  <c r="AL177" i="1" s="1"/>
  <c r="R178" i="1"/>
  <c r="S178" i="1" s="1"/>
  <c r="BD194" i="1"/>
  <c r="BC194" i="1"/>
  <c r="BB196" i="1"/>
  <c r="AL205" i="1"/>
  <c r="AL221" i="1"/>
  <c r="AB221" i="1"/>
  <c r="AU235" i="1"/>
  <c r="AT235" i="1"/>
  <c r="AS235" i="1"/>
  <c r="BI235" i="1"/>
  <c r="BI140" i="1"/>
  <c r="AW140" i="1"/>
  <c r="AT90" i="1"/>
  <c r="BC107" i="1"/>
  <c r="AT114" i="1"/>
  <c r="AU115" i="1"/>
  <c r="BB117" i="1"/>
  <c r="BC118" i="1"/>
  <c r="BC119" i="1"/>
  <c r="BC125" i="1"/>
  <c r="BB129" i="1"/>
  <c r="AB135" i="1"/>
  <c r="BC135" i="1"/>
  <c r="AS140" i="1"/>
  <c r="AU143" i="1"/>
  <c r="AS146" i="1"/>
  <c r="R147" i="1"/>
  <c r="S147" i="1" s="1"/>
  <c r="AB158" i="1"/>
  <c r="BD158" i="1"/>
  <c r="R161" i="1"/>
  <c r="S161" i="1" s="1"/>
  <c r="AT181" i="1"/>
  <c r="BA185" i="1"/>
  <c r="BC196" i="1"/>
  <c r="AT204" i="1"/>
  <c r="AB205" i="1"/>
  <c r="BA206" i="1"/>
  <c r="AB212" i="1"/>
  <c r="AL212" i="1"/>
  <c r="BD219" i="1"/>
  <c r="BH227" i="1"/>
  <c r="BC265" i="1"/>
  <c r="BB265" i="1"/>
  <c r="BF265" i="1"/>
  <c r="BI265" i="1"/>
  <c r="BD265" i="1"/>
  <c r="BD107" i="1"/>
  <c r="AU114" i="1"/>
  <c r="BC117" i="1"/>
  <c r="BD118" i="1"/>
  <c r="BD119" i="1"/>
  <c r="BD125" i="1"/>
  <c r="BD129" i="1"/>
  <c r="BD135" i="1"/>
  <c r="AU138" i="1"/>
  <c r="AT140" i="1"/>
  <c r="BD144" i="1"/>
  <c r="BC144" i="1"/>
  <c r="BH146" i="1"/>
  <c r="BI153" i="1"/>
  <c r="AS153" i="1"/>
  <c r="AT153" i="1"/>
  <c r="BI158" i="1"/>
  <c r="BC173" i="1"/>
  <c r="BF173" i="1"/>
  <c r="BB173" i="1"/>
  <c r="BH175" i="1"/>
  <c r="AK197" i="1"/>
  <c r="AL197" i="1" s="1"/>
  <c r="AU202" i="1"/>
  <c r="BI202" i="1"/>
  <c r="AS202" i="1"/>
  <c r="AB208" i="1"/>
  <c r="AL208" i="1"/>
  <c r="BC213" i="1"/>
  <c r="BF213" i="1"/>
  <c r="BD213" i="1"/>
  <c r="BB213" i="1"/>
  <c r="BI215" i="1"/>
  <c r="AT220" i="1"/>
  <c r="AU220" i="1"/>
  <c r="AT228" i="1"/>
  <c r="AS228" i="1"/>
  <c r="BI228" i="1"/>
  <c r="AU228" i="1"/>
  <c r="AU238" i="1"/>
  <c r="AS238" i="1"/>
  <c r="BI238" i="1"/>
  <c r="AT238" i="1"/>
  <c r="AS80" i="1"/>
  <c r="BB86" i="1"/>
  <c r="BM90" i="1"/>
  <c r="BM400" i="1" s="1"/>
  <c r="F401" i="1" s="1"/>
  <c r="AS93" i="1"/>
  <c r="BI93" i="1"/>
  <c r="BB99" i="1"/>
  <c r="BB109" i="1"/>
  <c r="R123" i="1"/>
  <c r="S123" i="1" s="1"/>
  <c r="BB124" i="1"/>
  <c r="AS138" i="1"/>
  <c r="AU140" i="1"/>
  <c r="BB148" i="1"/>
  <c r="AJ149" i="1"/>
  <c r="AK149" i="1" s="1"/>
  <c r="AL149" i="1" s="1"/>
  <c r="AL151" i="1"/>
  <c r="AB151" i="1"/>
  <c r="BA157" i="1"/>
  <c r="R164" i="1"/>
  <c r="AB165" i="1"/>
  <c r="AS166" i="1"/>
  <c r="BI166" i="1"/>
  <c r="BB176" i="1"/>
  <c r="BF176" i="1"/>
  <c r="BC176" i="1"/>
  <c r="BH178" i="1"/>
  <c r="AL180" i="1"/>
  <c r="BF183" i="1"/>
  <c r="BD183" i="1"/>
  <c r="BC183" i="1"/>
  <c r="BF189" i="1"/>
  <c r="BC189" i="1"/>
  <c r="BH201" i="1"/>
  <c r="AT202" i="1"/>
  <c r="AU207" i="1"/>
  <c r="AT207" i="1"/>
  <c r="AS207" i="1"/>
  <c r="AT209" i="1"/>
  <c r="AU209" i="1"/>
  <c r="AS209" i="1"/>
  <c r="BI217" i="1"/>
  <c r="AT217" i="1"/>
  <c r="BI219" i="1"/>
  <c r="AS220" i="1"/>
  <c r="BB223" i="1"/>
  <c r="BD223" i="1"/>
  <c r="BC223" i="1"/>
  <c r="BI224" i="1"/>
  <c r="AS224" i="1"/>
  <c r="AT224" i="1"/>
  <c r="BF236" i="1"/>
  <c r="BD236" i="1"/>
  <c r="BC236" i="1"/>
  <c r="BB236" i="1"/>
  <c r="AU240" i="1"/>
  <c r="AT240" i="1"/>
  <c r="AS240" i="1"/>
  <c r="Q128" i="1"/>
  <c r="R128" i="1" s="1"/>
  <c r="BF129" i="1"/>
  <c r="BF135" i="1"/>
  <c r="AS137" i="1"/>
  <c r="AT138" i="1"/>
  <c r="BB144" i="1"/>
  <c r="BC148" i="1"/>
  <c r="R150" i="1"/>
  <c r="BA150" i="1"/>
  <c r="AJ151" i="1"/>
  <c r="AK151" i="1" s="1"/>
  <c r="AT152" i="1"/>
  <c r="AU153" i="1"/>
  <c r="BB161" i="1"/>
  <c r="BC161" i="1"/>
  <c r="BD173" i="1"/>
  <c r="BI186" i="1"/>
  <c r="AU186" i="1"/>
  <c r="AU188" i="1"/>
  <c r="BI188" i="1"/>
  <c r="AS188" i="1"/>
  <c r="AL201" i="1"/>
  <c r="BF202" i="1"/>
  <c r="BC202" i="1"/>
  <c r="BD204" i="1"/>
  <c r="BC204" i="1"/>
  <c r="BC228" i="1"/>
  <c r="BF228" i="1"/>
  <c r="BB228" i="1"/>
  <c r="BF238" i="1"/>
  <c r="BD238" i="1"/>
  <c r="BB238" i="1"/>
  <c r="BC238" i="1"/>
  <c r="R151" i="1"/>
  <c r="AJ165" i="1"/>
  <c r="AK165" i="1" s="1"/>
  <c r="AL165" i="1" s="1"/>
  <c r="AL187" i="1"/>
  <c r="BB187" i="1"/>
  <c r="BF187" i="1"/>
  <c r="BI189" i="1"/>
  <c r="AS189" i="1"/>
  <c r="AB192" i="1"/>
  <c r="AR198" i="1"/>
  <c r="AR214" i="1"/>
  <c r="BB232" i="1"/>
  <c r="BD232" i="1"/>
  <c r="BC232" i="1"/>
  <c r="BF240" i="1"/>
  <c r="BC240" i="1"/>
  <c r="BD240" i="1"/>
  <c r="BB240" i="1"/>
  <c r="BC252" i="1"/>
  <c r="BF252" i="1"/>
  <c r="BD252" i="1"/>
  <c r="BB252" i="1"/>
  <c r="AS255" i="1"/>
  <c r="AU255" i="1"/>
  <c r="AT255" i="1"/>
  <c r="AL195" i="1"/>
  <c r="AL213" i="1"/>
  <c r="BB215" i="1"/>
  <c r="BC215" i="1"/>
  <c r="BI234" i="1"/>
  <c r="AS234" i="1"/>
  <c r="AU234" i="1"/>
  <c r="BC254" i="1"/>
  <c r="BF254" i="1"/>
  <c r="BD254" i="1"/>
  <c r="BB254" i="1"/>
  <c r="BF279" i="1"/>
  <c r="BD279" i="1"/>
  <c r="BC279" i="1"/>
  <c r="BH279" i="1" s="1"/>
  <c r="BB279" i="1"/>
  <c r="BA152" i="1"/>
  <c r="BI160" i="1"/>
  <c r="AS160" i="1"/>
  <c r="AL170" i="1"/>
  <c r="AJ174" i="1"/>
  <c r="AK174" i="1" s="1"/>
  <c r="AL174" i="1" s="1"/>
  <c r="AR177" i="1"/>
  <c r="AR184" i="1"/>
  <c r="BA198" i="1"/>
  <c r="AL210" i="1"/>
  <c r="BA214" i="1"/>
  <c r="AJ218" i="1"/>
  <c r="AK218" i="1" s="1"/>
  <c r="AL218" i="1" s="1"/>
  <c r="AB220" i="1"/>
  <c r="AJ225" i="1"/>
  <c r="AK225" i="1" s="1"/>
  <c r="AL225" i="1" s="1"/>
  <c r="AT231" i="1"/>
  <c r="AW231" i="1"/>
  <c r="AU231" i="1"/>
  <c r="AS231" i="1"/>
  <c r="BI231" i="1"/>
  <c r="R240" i="1"/>
  <c r="S240" i="1" s="1"/>
  <c r="AU244" i="1"/>
  <c r="AT244" i="1"/>
  <c r="BI244" i="1"/>
  <c r="BF250" i="1"/>
  <c r="BD250" i="1"/>
  <c r="BC250" i="1"/>
  <c r="BB250" i="1"/>
  <c r="BD222" i="1"/>
  <c r="BB222" i="1"/>
  <c r="BF222" i="1"/>
  <c r="BC222" i="1"/>
  <c r="AR223" i="1"/>
  <c r="BA257" i="1"/>
  <c r="AL268" i="1"/>
  <c r="BC234" i="1"/>
  <c r="BB234" i="1"/>
  <c r="BF234" i="1"/>
  <c r="BI236" i="1"/>
  <c r="BI251" i="1"/>
  <c r="AU251" i="1"/>
  <c r="AT251" i="1"/>
  <c r="AT274" i="1"/>
  <c r="AS274" i="1"/>
  <c r="AU274" i="1"/>
  <c r="BI274" i="1"/>
  <c r="AJ134" i="1"/>
  <c r="AK134" i="1" s="1"/>
  <c r="AJ143" i="1"/>
  <c r="AK143" i="1" s="1"/>
  <c r="AL143" i="1" s="1"/>
  <c r="R165" i="1"/>
  <c r="S165" i="1" s="1"/>
  <c r="R201" i="1"/>
  <c r="S201" i="1" s="1"/>
  <c r="AJ202" i="1"/>
  <c r="AK202" i="1" s="1"/>
  <c r="AL202" i="1" s="1"/>
  <c r="R204" i="1"/>
  <c r="AR225" i="1"/>
  <c r="BD234" i="1"/>
  <c r="BB235" i="1"/>
  <c r="BC235" i="1"/>
  <c r="BD235" i="1"/>
  <c r="AB243" i="1"/>
  <c r="AL243" i="1"/>
  <c r="AS251" i="1"/>
  <c r="BD221" i="1"/>
  <c r="BF221" i="1"/>
  <c r="BC221" i="1"/>
  <c r="AJ224" i="1"/>
  <c r="AK224" i="1" s="1"/>
  <c r="AL224" i="1" s="1"/>
  <c r="AS268" i="1"/>
  <c r="AU268" i="1"/>
  <c r="AT268" i="1"/>
  <c r="BD276" i="1"/>
  <c r="BF276" i="1"/>
  <c r="BC276" i="1"/>
  <c r="BI317" i="1"/>
  <c r="AS317" i="1"/>
  <c r="AU317" i="1"/>
  <c r="AT317" i="1"/>
  <c r="AW317" i="1"/>
  <c r="BC277" i="1"/>
  <c r="BD277" i="1"/>
  <c r="BB277" i="1"/>
  <c r="BI266" i="1"/>
  <c r="BK266" i="1" s="1"/>
  <c r="AS266" i="1"/>
  <c r="AW266" i="1"/>
  <c r="AU266" i="1"/>
  <c r="AT266" i="1"/>
  <c r="R174" i="1"/>
  <c r="AJ185" i="1"/>
  <c r="AK185" i="1" s="1"/>
  <c r="AL185" i="1" s="1"/>
  <c r="AJ201" i="1"/>
  <c r="AK201" i="1" s="1"/>
  <c r="AR211" i="1"/>
  <c r="AJ216" i="1"/>
  <c r="AK216" i="1" s="1"/>
  <c r="AL216" i="1" s="1"/>
  <c r="AR218" i="1"/>
  <c r="AB222" i="1"/>
  <c r="AL222" i="1"/>
  <c r="BF224" i="1"/>
  <c r="AU239" i="1"/>
  <c r="BD247" i="1"/>
  <c r="BB247" i="1"/>
  <c r="BF247" i="1"/>
  <c r="BC247" i="1"/>
  <c r="AR259" i="1"/>
  <c r="AL265" i="1"/>
  <c r="AT275" i="1"/>
  <c r="AS275" i="1"/>
  <c r="BI275" i="1"/>
  <c r="AU275" i="1"/>
  <c r="AT295" i="1"/>
  <c r="AS295" i="1"/>
  <c r="AU295" i="1"/>
  <c r="AT297" i="1"/>
  <c r="AS297" i="1"/>
  <c r="BI297" i="1"/>
  <c r="AU297" i="1"/>
  <c r="BD322" i="1"/>
  <c r="BC322" i="1"/>
  <c r="BB322" i="1"/>
  <c r="AR167" i="1"/>
  <c r="AU237" i="1"/>
  <c r="AS237" i="1"/>
  <c r="AR241" i="1"/>
  <c r="BA253" i="1"/>
  <c r="AL256" i="1"/>
  <c r="AB256" i="1"/>
  <c r="AU264" i="1"/>
  <c r="AT264" i="1"/>
  <c r="AS264" i="1"/>
  <c r="BI264" i="1"/>
  <c r="AU265" i="1"/>
  <c r="AT265" i="1"/>
  <c r="AS265" i="1"/>
  <c r="BB275" i="1"/>
  <c r="BF275" i="1"/>
  <c r="BD275" i="1"/>
  <c r="BC275" i="1"/>
  <c r="AS277" i="1"/>
  <c r="BI277" i="1"/>
  <c r="AW277" i="1"/>
  <c r="AU277" i="1"/>
  <c r="BC285" i="1"/>
  <c r="BB285" i="1"/>
  <c r="BD285" i="1"/>
  <c r="BC306" i="1"/>
  <c r="BD306" i="1"/>
  <c r="BB306" i="1"/>
  <c r="AL238" i="1"/>
  <c r="BH239" i="1"/>
  <c r="AJ242" i="1"/>
  <c r="AK242" i="1" s="1"/>
  <c r="AT246" i="1"/>
  <c r="AS246" i="1"/>
  <c r="BI246" i="1"/>
  <c r="BI254" i="1"/>
  <c r="AU254" i="1"/>
  <c r="AT254" i="1"/>
  <c r="AS254" i="1"/>
  <c r="BC263" i="1"/>
  <c r="BB263" i="1"/>
  <c r="AT236" i="1"/>
  <c r="AS236" i="1"/>
  <c r="BA237" i="1"/>
  <c r="R239" i="1"/>
  <c r="AW262" i="1"/>
  <c r="AS262" i="1"/>
  <c r="AR271" i="1"/>
  <c r="AB257" i="1"/>
  <c r="AL257" i="1"/>
  <c r="BD260" i="1"/>
  <c r="BB260" i="1"/>
  <c r="BF260" i="1"/>
  <c r="BC266" i="1"/>
  <c r="BF266" i="1"/>
  <c r="BD266" i="1"/>
  <c r="BB266" i="1"/>
  <c r="BD267" i="1"/>
  <c r="BF267" i="1"/>
  <c r="BC267" i="1"/>
  <c r="BB267" i="1"/>
  <c r="AU279" i="1"/>
  <c r="AS279" i="1"/>
  <c r="BI279" i="1"/>
  <c r="BD281" i="1"/>
  <c r="S315" i="1"/>
  <c r="BD239" i="1"/>
  <c r="BC239" i="1"/>
  <c r="BB239" i="1"/>
  <c r="AU242" i="1"/>
  <c r="AT242" i="1"/>
  <c r="BI242" i="1"/>
  <c r="BB244" i="1"/>
  <c r="BD244" i="1"/>
  <c r="BC244" i="1"/>
  <c r="AU258" i="1"/>
  <c r="BI258" i="1"/>
  <c r="BH262" i="1"/>
  <c r="BD270" i="1"/>
  <c r="BC270" i="1"/>
  <c r="BB270" i="1"/>
  <c r="BD271" i="1"/>
  <c r="BC271" i="1"/>
  <c r="BF271" i="1"/>
  <c r="BB278" i="1"/>
  <c r="BI278" i="1"/>
  <c r="BD278" i="1"/>
  <c r="AU290" i="1"/>
  <c r="AS290" i="1"/>
  <c r="BI290" i="1"/>
  <c r="AW290" i="1"/>
  <c r="AT290" i="1"/>
  <c r="AU325" i="1"/>
  <c r="BI325" i="1"/>
  <c r="AT325" i="1"/>
  <c r="AU327" i="1"/>
  <c r="AW327" i="1"/>
  <c r="AS327" i="1"/>
  <c r="BI327" i="1"/>
  <c r="AT327" i="1"/>
  <c r="AW388" i="1"/>
  <c r="AS388" i="1"/>
  <c r="AT388" i="1"/>
  <c r="AU388" i="1"/>
  <c r="AR139" i="1"/>
  <c r="AL144" i="1"/>
  <c r="AR148" i="1"/>
  <c r="AR156" i="1"/>
  <c r="R182" i="1"/>
  <c r="S182" i="1" s="1"/>
  <c r="R185" i="1"/>
  <c r="S185" i="1" s="1"/>
  <c r="AL192" i="1"/>
  <c r="R199" i="1"/>
  <c r="BA225" i="1"/>
  <c r="R236" i="1"/>
  <c r="S236" i="1" s="1"/>
  <c r="BF239" i="1"/>
  <c r="AS242" i="1"/>
  <c r="BI243" i="1"/>
  <c r="BF244" i="1"/>
  <c r="BD248" i="1"/>
  <c r="AU256" i="1"/>
  <c r="AT256" i="1"/>
  <c r="BI256" i="1"/>
  <c r="AS256" i="1"/>
  <c r="AS258" i="1"/>
  <c r="BC260" i="1"/>
  <c r="AU262" i="1"/>
  <c r="AT269" i="1"/>
  <c r="AU269" i="1"/>
  <c r="BI269" i="1"/>
  <c r="AS269" i="1"/>
  <c r="AU272" i="1"/>
  <c r="AT272" i="1"/>
  <c r="AS272" i="1"/>
  <c r="BC278" i="1"/>
  <c r="BI239" i="1"/>
  <c r="BD242" i="1"/>
  <c r="BB242" i="1"/>
  <c r="BF242" i="1"/>
  <c r="AU245" i="1"/>
  <c r="AT245" i="1"/>
  <c r="AS245" i="1"/>
  <c r="BI245" i="1"/>
  <c r="AU247" i="1"/>
  <c r="AS247" i="1"/>
  <c r="AT258" i="1"/>
  <c r="BD269" i="1"/>
  <c r="BF269" i="1"/>
  <c r="BC269" i="1"/>
  <c r="BB269" i="1"/>
  <c r="BF270" i="1"/>
  <c r="BB271" i="1"/>
  <c r="AU273" i="1"/>
  <c r="AW273" i="1"/>
  <c r="BI273" i="1"/>
  <c r="R282" i="1"/>
  <c r="S282" i="1" s="1"/>
  <c r="BD282" i="1"/>
  <c r="BC290" i="1"/>
  <c r="BB290" i="1"/>
  <c r="BD290" i="1"/>
  <c r="R310" i="1"/>
  <c r="AU310" i="1"/>
  <c r="AS376" i="1"/>
  <c r="BI376" i="1"/>
  <c r="BK376" i="1" s="1"/>
  <c r="AW376" i="1"/>
  <c r="AU376" i="1"/>
  <c r="AT376" i="1"/>
  <c r="AT229" i="1"/>
  <c r="BI229" i="1"/>
  <c r="R230" i="1"/>
  <c r="S230" i="1" s="1"/>
  <c r="AJ232" i="1"/>
  <c r="AK232" i="1" s="1"/>
  <c r="AL232" i="1" s="1"/>
  <c r="BF248" i="1"/>
  <c r="BI250" i="1"/>
  <c r="AS250" i="1"/>
  <c r="AT250" i="1"/>
  <c r="AU252" i="1"/>
  <c r="AS273" i="1"/>
  <c r="BB291" i="1"/>
  <c r="BF291" i="1"/>
  <c r="BC291" i="1"/>
  <c r="BD291" i="1"/>
  <c r="BD302" i="1"/>
  <c r="BF302" i="1"/>
  <c r="BC302" i="1"/>
  <c r="BB302" i="1"/>
  <c r="BC242" i="1"/>
  <c r="BC245" i="1"/>
  <c r="BF245" i="1"/>
  <c r="BD245" i="1"/>
  <c r="AT247" i="1"/>
  <c r="AT273" i="1"/>
  <c r="AU280" i="1"/>
  <c r="AT280" i="1"/>
  <c r="AS280" i="1"/>
  <c r="AU285" i="1"/>
  <c r="AW285" i="1"/>
  <c r="AT285" i="1"/>
  <c r="AS285" i="1"/>
  <c r="BD256" i="1"/>
  <c r="BF256" i="1"/>
  <c r="BC256" i="1"/>
  <c r="BB256" i="1"/>
  <c r="AL258" i="1"/>
  <c r="AT276" i="1"/>
  <c r="AU276" i="1"/>
  <c r="AS276" i="1"/>
  <c r="BI276" i="1"/>
  <c r="BB283" i="1"/>
  <c r="BD283" i="1"/>
  <c r="BC283" i="1"/>
  <c r="BH283" i="1" s="1"/>
  <c r="BA203" i="1"/>
  <c r="AR232" i="1"/>
  <c r="BD241" i="1"/>
  <c r="BA249" i="1"/>
  <c r="BD258" i="1"/>
  <c r="BB264" i="1"/>
  <c r="AJ271" i="1"/>
  <c r="AK271" i="1" s="1"/>
  <c r="BD272" i="1"/>
  <c r="BF274" i="1"/>
  <c r="BD284" i="1"/>
  <c r="BB288" i="1"/>
  <c r="AT298" i="1"/>
  <c r="AS298" i="1"/>
  <c r="BI298" i="1"/>
  <c r="BI302" i="1"/>
  <c r="BD305" i="1"/>
  <c r="BC305" i="1"/>
  <c r="BB305" i="1"/>
  <c r="AB312" i="1"/>
  <c r="AL312" i="1"/>
  <c r="AS320" i="1"/>
  <c r="AW320" i="1"/>
  <c r="AU320" i="1"/>
  <c r="AT320" i="1"/>
  <c r="BI320" i="1"/>
  <c r="BK320" i="1" s="1"/>
  <c r="BD344" i="1"/>
  <c r="BF344" i="1"/>
  <c r="BB344" i="1"/>
  <c r="BC344" i="1"/>
  <c r="R350" i="1"/>
  <c r="BD350" i="1"/>
  <c r="BD390" i="1"/>
  <c r="BF390" i="1"/>
  <c r="BC390" i="1"/>
  <c r="AT292" i="1"/>
  <c r="AW292" i="1"/>
  <c r="AU292" i="1"/>
  <c r="BI319" i="1"/>
  <c r="AS319" i="1"/>
  <c r="AU319" i="1"/>
  <c r="AT319" i="1"/>
  <c r="BC352" i="1"/>
  <c r="BF352" i="1"/>
  <c r="BD352" i="1"/>
  <c r="BB352" i="1"/>
  <c r="R226" i="1"/>
  <c r="S226" i="1" s="1"/>
  <c r="AB230" i="1"/>
  <c r="AL230" i="1"/>
  <c r="R238" i="1"/>
  <c r="S238" i="1" s="1"/>
  <c r="BF241" i="1"/>
  <c r="AJ249" i="1"/>
  <c r="AK249" i="1" s="1"/>
  <c r="AL249" i="1" s="1"/>
  <c r="R256" i="1"/>
  <c r="BI263" i="1"/>
  <c r="BD264" i="1"/>
  <c r="AL272" i="1"/>
  <c r="AN276" i="1"/>
  <c r="AL276" i="1"/>
  <c r="AL279" i="1"/>
  <c r="AR281" i="1"/>
  <c r="AR282" i="1"/>
  <c r="AL287" i="1"/>
  <c r="BI289" i="1"/>
  <c r="AS289" i="1"/>
  <c r="AW289" i="1"/>
  <c r="AU289" i="1"/>
  <c r="AU308" i="1"/>
  <c r="AT308" i="1"/>
  <c r="AW308" i="1"/>
  <c r="AS308" i="1"/>
  <c r="BH263" i="1"/>
  <c r="AL269" i="1"/>
  <c r="AU270" i="1"/>
  <c r="BI270" i="1"/>
  <c r="AB291" i="1"/>
  <c r="AL291" i="1"/>
  <c r="BI304" i="1"/>
  <c r="AS304" i="1"/>
  <c r="AW304" i="1"/>
  <c r="AU304" i="1"/>
  <c r="AT304" i="1"/>
  <c r="BD319" i="1"/>
  <c r="BF319" i="1"/>
  <c r="BC319" i="1"/>
  <c r="BB319" i="1"/>
  <c r="BI248" i="1"/>
  <c r="AL251" i="1"/>
  <c r="BA255" i="1"/>
  <c r="AB268" i="1"/>
  <c r="AB269" i="1"/>
  <c r="BI284" i="1"/>
  <c r="AW286" i="1"/>
  <c r="AU286" i="1"/>
  <c r="BI286" i="1"/>
  <c r="AS287" i="1"/>
  <c r="AW300" i="1"/>
  <c r="AU300" i="1"/>
  <c r="AT300" i="1"/>
  <c r="AS300" i="1"/>
  <c r="AB307" i="1"/>
  <c r="AL307" i="1"/>
  <c r="BD308" i="1"/>
  <c r="BC308" i="1"/>
  <c r="BB308" i="1"/>
  <c r="BH312" i="1"/>
  <c r="BD321" i="1"/>
  <c r="S366" i="1"/>
  <c r="AS270" i="1"/>
  <c r="AT287" i="1"/>
  <c r="BB289" i="1"/>
  <c r="AU309" i="1"/>
  <c r="AS309" i="1"/>
  <c r="AT309" i="1"/>
  <c r="BI309" i="1"/>
  <c r="BH313" i="1"/>
  <c r="BH341" i="1"/>
  <c r="AT353" i="1"/>
  <c r="BI353" i="1"/>
  <c r="AW353" i="1"/>
  <c r="AS353" i="1"/>
  <c r="AU353" i="1"/>
  <c r="AU382" i="1"/>
  <c r="AT382" i="1"/>
  <c r="AS382" i="1"/>
  <c r="AT385" i="1"/>
  <c r="AS385" i="1"/>
  <c r="BI385" i="1"/>
  <c r="AW385" i="1"/>
  <c r="AU385" i="1"/>
  <c r="AR216" i="1"/>
  <c r="AJ219" i="1"/>
  <c r="AK219" i="1" s="1"/>
  <c r="AL219" i="1" s="1"/>
  <c r="BA243" i="1"/>
  <c r="AS248" i="1"/>
  <c r="AB251" i="1"/>
  <c r="BB262" i="1"/>
  <c r="AT270" i="1"/>
  <c r="BB280" i="1"/>
  <c r="AT286" i="1"/>
  <c r="AU287" i="1"/>
  <c r="BC289" i="1"/>
  <c r="R292" i="1"/>
  <c r="S292" i="1" s="1"/>
  <c r="BC292" i="1"/>
  <c r="AS293" i="1"/>
  <c r="AU293" i="1"/>
  <c r="AW293" i="1"/>
  <c r="BH299" i="1"/>
  <c r="BA300" i="1"/>
  <c r="BD304" i="1"/>
  <c r="BI308" i="1"/>
  <c r="BA310" i="1"/>
  <c r="BI329" i="1"/>
  <c r="AS329" i="1"/>
  <c r="AT329" i="1"/>
  <c r="AU329" i="1"/>
  <c r="BD338" i="1"/>
  <c r="BC338" i="1"/>
  <c r="BB338" i="1"/>
  <c r="BI373" i="1"/>
  <c r="AT373" i="1"/>
  <c r="AU373" i="1"/>
  <c r="AS373" i="1"/>
  <c r="BC261" i="1"/>
  <c r="BB261" i="1"/>
  <c r="BC296" i="1"/>
  <c r="BB296" i="1"/>
  <c r="BD299" i="1"/>
  <c r="R299" i="1"/>
  <c r="S299" i="1" s="1"/>
  <c r="BB312" i="1"/>
  <c r="BC312" i="1"/>
  <c r="BF312" i="1"/>
  <c r="BD313" i="1"/>
  <c r="BB313" i="1"/>
  <c r="BF313" i="1"/>
  <c r="BC313" i="1"/>
  <c r="BI313" i="1"/>
  <c r="AT316" i="1"/>
  <c r="AW316" i="1"/>
  <c r="AU316" i="1"/>
  <c r="AS316" i="1"/>
  <c r="BD318" i="1"/>
  <c r="BC318" i="1"/>
  <c r="BF318" i="1"/>
  <c r="AS361" i="1"/>
  <c r="AT361" i="1"/>
  <c r="AU361" i="1"/>
  <c r="AL242" i="1"/>
  <c r="AL246" i="1"/>
  <c r="AU248" i="1"/>
  <c r="AT249" i="1"/>
  <c r="BB251" i="1"/>
  <c r="BD261" i="1"/>
  <c r="BB273" i="1"/>
  <c r="BD280" i="1"/>
  <c r="BB281" i="1"/>
  <c r="AS284" i="1"/>
  <c r="BD296" i="1"/>
  <c r="AL297" i="1"/>
  <c r="BH301" i="1"/>
  <c r="AT306" i="1"/>
  <c r="AW306" i="1"/>
  <c r="BI306" i="1"/>
  <c r="AU306" i="1"/>
  <c r="AS306" i="1"/>
  <c r="BF309" i="1"/>
  <c r="BC309" i="1"/>
  <c r="BB309" i="1"/>
  <c r="BD309" i="1"/>
  <c r="BD312" i="1"/>
  <c r="BB318" i="1"/>
  <c r="BD353" i="1"/>
  <c r="BC353" i="1"/>
  <c r="BB353" i="1"/>
  <c r="BI382" i="1"/>
  <c r="AW391" i="1"/>
  <c r="AS391" i="1"/>
  <c r="AU391" i="1"/>
  <c r="AT391" i="1"/>
  <c r="AB242" i="1"/>
  <c r="AU249" i="1"/>
  <c r="BC251" i="1"/>
  <c r="BF261" i="1"/>
  <c r="AR267" i="1"/>
  <c r="BC273" i="1"/>
  <c r="BB274" i="1"/>
  <c r="BC281" i="1"/>
  <c r="BC282" i="1"/>
  <c r="AU284" i="1"/>
  <c r="BI292" i="1"/>
  <c r="BA293" i="1"/>
  <c r="BF295" i="1"/>
  <c r="BD295" i="1"/>
  <c r="BB295" i="1"/>
  <c r="R311" i="1"/>
  <c r="BC314" i="1"/>
  <c r="BB314" i="1"/>
  <c r="BF314" i="1"/>
  <c r="BD314" i="1"/>
  <c r="AU323" i="1"/>
  <c r="AT323" i="1"/>
  <c r="AS323" i="1"/>
  <c r="BI323" i="1"/>
  <c r="AT328" i="1"/>
  <c r="AU328" i="1"/>
  <c r="AS328" i="1"/>
  <c r="BI328" i="1"/>
  <c r="AW340" i="1"/>
  <c r="AT340" i="1"/>
  <c r="AS340" i="1"/>
  <c r="BI340" i="1"/>
  <c r="AU340" i="1"/>
  <c r="AL260" i="1"/>
  <c r="AL271" i="1"/>
  <c r="AU278" i="1"/>
  <c r="AT278" i="1"/>
  <c r="BC287" i="1"/>
  <c r="BB287" i="1"/>
  <c r="AW263" i="1"/>
  <c r="O401" i="1"/>
  <c r="O403" i="1"/>
  <c r="BA268" i="1"/>
  <c r="BI268" i="1" s="1"/>
  <c r="AB292" i="1"/>
  <c r="AN292" i="1"/>
  <c r="BD294" i="1"/>
  <c r="R298" i="1"/>
  <c r="AT302" i="1"/>
  <c r="AT310" i="1"/>
  <c r="BF331" i="1"/>
  <c r="BB331" i="1"/>
  <c r="BC331" i="1"/>
  <c r="BD334" i="1"/>
  <c r="BC334" i="1"/>
  <c r="BB334" i="1"/>
  <c r="BC337" i="1"/>
  <c r="BB337" i="1"/>
  <c r="BF346" i="1"/>
  <c r="BB346" i="1"/>
  <c r="BC346" i="1"/>
  <c r="AU352" i="1"/>
  <c r="AT352" i="1"/>
  <c r="AS352" i="1"/>
  <c r="BI352" i="1"/>
  <c r="BA354" i="1"/>
  <c r="BI360" i="1"/>
  <c r="AS360" i="1"/>
  <c r="AU360" i="1"/>
  <c r="BB364" i="1"/>
  <c r="BF364" i="1"/>
  <c r="BC364" i="1"/>
  <c r="BD364" i="1"/>
  <c r="BI377" i="1"/>
  <c r="AT378" i="1"/>
  <c r="AW378" i="1"/>
  <c r="BI378" i="1"/>
  <c r="BK378" i="1" s="1"/>
  <c r="AS378" i="1"/>
  <c r="BI311" i="1"/>
  <c r="AS311" i="1"/>
  <c r="R312" i="1"/>
  <c r="AU312" i="1"/>
  <c r="AT315" i="1"/>
  <c r="AS315" i="1"/>
  <c r="BI315" i="1"/>
  <c r="BI322" i="1"/>
  <c r="AS322" i="1"/>
  <c r="AT322" i="1"/>
  <c r="AW322" i="1"/>
  <c r="AU322" i="1"/>
  <c r="BC330" i="1"/>
  <c r="BB330" i="1"/>
  <c r="BF330" i="1"/>
  <c r="BA335" i="1"/>
  <c r="BD337" i="1"/>
  <c r="BI341" i="1"/>
  <c r="AW341" i="1"/>
  <c r="AU341" i="1"/>
  <c r="BI371" i="1"/>
  <c r="AS371" i="1"/>
  <c r="AW371" i="1"/>
  <c r="AU371" i="1"/>
  <c r="AT371" i="1"/>
  <c r="AT389" i="1"/>
  <c r="AW389" i="1"/>
  <c r="AS389" i="1"/>
  <c r="BI389" i="1"/>
  <c r="AU389" i="1"/>
  <c r="AU299" i="1"/>
  <c r="AW299" i="1"/>
  <c r="BB303" i="1"/>
  <c r="AU315" i="1"/>
  <c r="BD336" i="1"/>
  <c r="BC336" i="1"/>
  <c r="BH336" i="1" s="1"/>
  <c r="BB336" i="1"/>
  <c r="AT351" i="1"/>
  <c r="AS351" i="1"/>
  <c r="AT370" i="1"/>
  <c r="AU370" i="1"/>
  <c r="BI370" i="1"/>
  <c r="AS370" i="1"/>
  <c r="BD378" i="1"/>
  <c r="BC378" i="1"/>
  <c r="BF378" i="1"/>
  <c r="BB391" i="1"/>
  <c r="BD391" i="1"/>
  <c r="BC391" i="1"/>
  <c r="BF391" i="1"/>
  <c r="BC370" i="1"/>
  <c r="BF370" i="1"/>
  <c r="AU375" i="1"/>
  <c r="AS375" i="1"/>
  <c r="AT375" i="1"/>
  <c r="AR294" i="1"/>
  <c r="AW311" i="1"/>
  <c r="BB340" i="1"/>
  <c r="BC340" i="1"/>
  <c r="BB342" i="1"/>
  <c r="BF342" i="1"/>
  <c r="BC342" i="1"/>
  <c r="BB370" i="1"/>
  <c r="BC377" i="1"/>
  <c r="BD377" i="1"/>
  <c r="BF323" i="1"/>
  <c r="BD323" i="1"/>
  <c r="BB323" i="1"/>
  <c r="AU324" i="1"/>
  <c r="AT324" i="1"/>
  <c r="BI324" i="1"/>
  <c r="AU339" i="1"/>
  <c r="BI339" i="1"/>
  <c r="AS339" i="1"/>
  <c r="AW339" i="1"/>
  <c r="AT339" i="1"/>
  <c r="AS349" i="1"/>
  <c r="BI349" i="1"/>
  <c r="AU349" i="1"/>
  <c r="AT349" i="1"/>
  <c r="BI351" i="1"/>
  <c r="AS358" i="1"/>
  <c r="BI358" i="1"/>
  <c r="AU358" i="1"/>
  <c r="AT358" i="1"/>
  <c r="BC359" i="1"/>
  <c r="BF359" i="1"/>
  <c r="BB359" i="1"/>
  <c r="S365" i="1"/>
  <c r="BD370" i="1"/>
  <c r="AT384" i="1"/>
  <c r="AU384" i="1"/>
  <c r="AS384" i="1"/>
  <c r="BI384" i="1"/>
  <c r="BI288" i="1"/>
  <c r="BB298" i="1"/>
  <c r="R304" i="1"/>
  <c r="S304" i="1" s="1"/>
  <c r="AB318" i="1"/>
  <c r="AL318" i="1"/>
  <c r="BC323" i="1"/>
  <c r="BD340" i="1"/>
  <c r="AU348" i="1"/>
  <c r="AT348" i="1"/>
  <c r="AW349" i="1"/>
  <c r="AS354" i="1"/>
  <c r="BB354" i="1"/>
  <c r="AU356" i="1"/>
  <c r="AT356" i="1"/>
  <c r="BI356" i="1"/>
  <c r="BF358" i="1"/>
  <c r="BD358" i="1"/>
  <c r="BC358" i="1"/>
  <c r="BB358" i="1"/>
  <c r="BD359" i="1"/>
  <c r="AT365" i="1"/>
  <c r="AW365" i="1"/>
  <c r="AU365" i="1"/>
  <c r="AS365" i="1"/>
  <c r="BI365" i="1"/>
  <c r="BF377" i="1"/>
  <c r="AU394" i="1"/>
  <c r="AT394" i="1"/>
  <c r="BI394" i="1"/>
  <c r="AW394" i="1"/>
  <c r="AR296" i="1"/>
  <c r="BB299" i="1"/>
  <c r="BB301" i="1"/>
  <c r="BF301" i="1"/>
  <c r="AS303" i="1"/>
  <c r="AR307" i="1"/>
  <c r="BI310" i="1"/>
  <c r="BD311" i="1"/>
  <c r="BC311" i="1"/>
  <c r="AS324" i="1"/>
  <c r="BD326" i="1"/>
  <c r="BC326" i="1"/>
  <c r="BC327" i="1"/>
  <c r="BB327" i="1"/>
  <c r="BI338" i="1"/>
  <c r="AS338" i="1"/>
  <c r="AW338" i="1"/>
  <c r="AT338" i="1"/>
  <c r="AT346" i="1"/>
  <c r="BI346" i="1"/>
  <c r="AT347" i="1"/>
  <c r="AS347" i="1"/>
  <c r="BI347" i="1"/>
  <c r="AU347" i="1"/>
  <c r="AS348" i="1"/>
  <c r="BC349" i="1"/>
  <c r="BB349" i="1"/>
  <c r="AU355" i="1"/>
  <c r="AT355" i="1"/>
  <c r="BI355" i="1"/>
  <c r="AS355" i="1"/>
  <c r="AS356" i="1"/>
  <c r="BH360" i="1"/>
  <c r="BB384" i="1"/>
  <c r="BC384" i="1"/>
  <c r="BD384" i="1"/>
  <c r="AS392" i="1"/>
  <c r="AW392" i="1"/>
  <c r="AU392" i="1"/>
  <c r="AT392" i="1"/>
  <c r="AS394" i="1"/>
  <c r="L401" i="1"/>
  <c r="BH303" i="1"/>
  <c r="BB316" i="1"/>
  <c r="BD316" i="1"/>
  <c r="AT321" i="1"/>
  <c r="AS321" i="1"/>
  <c r="BI321" i="1"/>
  <c r="BB328" i="1"/>
  <c r="BF328" i="1"/>
  <c r="BC328" i="1"/>
  <c r="BD328" i="1"/>
  <c r="BD329" i="1"/>
  <c r="BB329" i="1"/>
  <c r="BF329" i="1"/>
  <c r="AU330" i="1"/>
  <c r="AT330" i="1"/>
  <c r="BI330" i="1"/>
  <c r="AW332" i="1"/>
  <c r="AU332" i="1"/>
  <c r="AT332" i="1"/>
  <c r="AS332" i="1"/>
  <c r="BI332" i="1"/>
  <c r="AU337" i="1"/>
  <c r="AW337" i="1"/>
  <c r="AT337" i="1"/>
  <c r="AS337" i="1"/>
  <c r="BI337" i="1"/>
  <c r="BF355" i="1"/>
  <c r="BD355" i="1"/>
  <c r="BD357" i="1"/>
  <c r="BB357" i="1"/>
  <c r="AU363" i="1"/>
  <c r="AW363" i="1"/>
  <c r="BI363" i="1"/>
  <c r="AW366" i="1"/>
  <c r="AS366" i="1"/>
  <c r="BI366" i="1"/>
  <c r="AT366" i="1"/>
  <c r="BB369" i="1"/>
  <c r="BD369" i="1"/>
  <c r="BC369" i="1"/>
  <c r="BD374" i="1"/>
  <c r="BC374" i="1"/>
  <c r="BF374" i="1"/>
  <c r="BI374" i="1"/>
  <c r="BK374" i="1" s="1"/>
  <c r="BB374" i="1"/>
  <c r="AT383" i="1"/>
  <c r="AU383" i="1"/>
  <c r="AS383" i="1"/>
  <c r="AW383" i="1"/>
  <c r="AW396" i="1"/>
  <c r="AT396" i="1"/>
  <c r="AS396" i="1"/>
  <c r="BI396" i="1"/>
  <c r="R289" i="1"/>
  <c r="AS314" i="1"/>
  <c r="BC316" i="1"/>
  <c r="BD317" i="1"/>
  <c r="BB317" i="1"/>
  <c r="AU321" i="1"/>
  <c r="BC329" i="1"/>
  <c r="AS330" i="1"/>
  <c r="AR331" i="1"/>
  <c r="BB332" i="1"/>
  <c r="BB339" i="1"/>
  <c r="BC339" i="1"/>
  <c r="BB347" i="1"/>
  <c r="BC347" i="1"/>
  <c r="BB356" i="1"/>
  <c r="BD356" i="1"/>
  <c r="BC356" i="1"/>
  <c r="AW364" i="1"/>
  <c r="BI364" i="1"/>
  <c r="BK364" i="1" s="1"/>
  <c r="AS364" i="1"/>
  <c r="AU366" i="1"/>
  <c r="BH367" i="1"/>
  <c r="AU396" i="1"/>
  <c r="AT291" i="1"/>
  <c r="BI312" i="1"/>
  <c r="AT314" i="1"/>
  <c r="BC324" i="1"/>
  <c r="BB324" i="1"/>
  <c r="BF324" i="1"/>
  <c r="BD324" i="1"/>
  <c r="BI336" i="1"/>
  <c r="AS336" i="1"/>
  <c r="AW336" i="1"/>
  <c r="AU336" i="1"/>
  <c r="BI354" i="1"/>
  <c r="AU354" i="1"/>
  <c r="AT354" i="1"/>
  <c r="BB355" i="1"/>
  <c r="BC357" i="1"/>
  <c r="AT362" i="1"/>
  <c r="AW362" i="1"/>
  <c r="AU362" i="1"/>
  <c r="AS362" i="1"/>
  <c r="BI362" i="1"/>
  <c r="AS363" i="1"/>
  <c r="AT364" i="1"/>
  <c r="BD368" i="1"/>
  <c r="BC368" i="1"/>
  <c r="Q377" i="1"/>
  <c r="R377" i="1" s="1"/>
  <c r="P377" i="1"/>
  <c r="BI390" i="1"/>
  <c r="BB396" i="1"/>
  <c r="BC396" i="1"/>
  <c r="BD396" i="1"/>
  <c r="AR343" i="1"/>
  <c r="BC363" i="1"/>
  <c r="BB363" i="1"/>
  <c r="AU377" i="1"/>
  <c r="AT380" i="1"/>
  <c r="BI380" i="1"/>
  <c r="AW380" i="1"/>
  <c r="AU380" i="1"/>
  <c r="BI318" i="1"/>
  <c r="BD366" i="1"/>
  <c r="BC366" i="1"/>
  <c r="BB366" i="1"/>
  <c r="AR333" i="1"/>
  <c r="BB350" i="1"/>
  <c r="AR359" i="1"/>
  <c r="BA361" i="1"/>
  <c r="BB372" i="1"/>
  <c r="BF389" i="1"/>
  <c r="BD389" i="1"/>
  <c r="BC348" i="1"/>
  <c r="BI368" i="1"/>
  <c r="AS368" i="1"/>
  <c r="AW334" i="1"/>
  <c r="BI334" i="1"/>
  <c r="S342" i="1"/>
  <c r="AT344" i="1"/>
  <c r="BI344" i="1"/>
  <c r="BB348" i="1"/>
  <c r="BI350" i="1"/>
  <c r="BF351" i="1"/>
  <c r="BD351" i="1"/>
  <c r="AT368" i="1"/>
  <c r="BC381" i="1"/>
  <c r="BD383" i="1"/>
  <c r="BC383" i="1"/>
  <c r="AS344" i="1"/>
  <c r="BD348" i="1"/>
  <c r="BI357" i="1"/>
  <c r="AW367" i="1"/>
  <c r="AU368" i="1"/>
  <c r="BH377" i="1"/>
  <c r="BB381" i="1"/>
  <c r="BB382" i="1"/>
  <c r="BF382" i="1"/>
  <c r="BD382" i="1"/>
  <c r="BC382" i="1"/>
  <c r="AU393" i="1"/>
  <c r="BI393" i="1"/>
  <c r="BB325" i="1"/>
  <c r="AS325" i="1"/>
  <c r="AS334" i="1"/>
  <c r="BD341" i="1"/>
  <c r="BB341" i="1"/>
  <c r="AU344" i="1"/>
  <c r="AW350" i="1"/>
  <c r="AT350" i="1"/>
  <c r="BB351" i="1"/>
  <c r="BB362" i="1"/>
  <c r="BB367" i="1"/>
  <c r="BF367" i="1"/>
  <c r="BD381" i="1"/>
  <c r="BB383" i="1"/>
  <c r="BC385" i="1"/>
  <c r="BB385" i="1"/>
  <c r="BD385" i="1"/>
  <c r="AS393" i="1"/>
  <c r="N403" i="1"/>
  <c r="AL326" i="1"/>
  <c r="BD333" i="1"/>
  <c r="AT334" i="1"/>
  <c r="BI335" i="1"/>
  <c r="AT342" i="1"/>
  <c r="AS342" i="1"/>
  <c r="BI342" i="1"/>
  <c r="BC351" i="1"/>
  <c r="AS357" i="1"/>
  <c r="BC362" i="1"/>
  <c r="BC371" i="1"/>
  <c r="BB371" i="1"/>
  <c r="BI372" i="1"/>
  <c r="BF383" i="1"/>
  <c r="BB392" i="1"/>
  <c r="BF392" i="1"/>
  <c r="AT393" i="1"/>
  <c r="BB333" i="1"/>
  <c r="R354" i="1"/>
  <c r="S354" i="1" s="1"/>
  <c r="AT390" i="1"/>
  <c r="AW390" i="1"/>
  <c r="AS390" i="1"/>
  <c r="BC393" i="1"/>
  <c r="AB330" i="1"/>
  <c r="BA376" i="1"/>
  <c r="BA388" i="1"/>
  <c r="R325" i="1"/>
  <c r="S325" i="1" s="1"/>
  <c r="AR326" i="1"/>
  <c r="Q333" i="1"/>
  <c r="R333" i="1" s="1"/>
  <c r="M404" i="1"/>
  <c r="R343" i="1"/>
  <c r="S343" i="1" s="1"/>
  <c r="R348" i="1"/>
  <c r="R371" i="1"/>
  <c r="AT381" i="1"/>
  <c r="BI381" i="1"/>
  <c r="AU372" i="1"/>
  <c r="AS372" i="1"/>
  <c r="BI387" i="1"/>
  <c r="AR369" i="1"/>
  <c r="BA375" i="1"/>
  <c r="R326" i="1"/>
  <c r="S326" i="1" s="1"/>
  <c r="AR345" i="1"/>
  <c r="BA387" i="1"/>
  <c r="BH368" i="1" l="1"/>
  <c r="AU359" i="1"/>
  <c r="BI359" i="1"/>
  <c r="AT359" i="1"/>
  <c r="AS359" i="1"/>
  <c r="BC237" i="1"/>
  <c r="BD237" i="1"/>
  <c r="BB237" i="1"/>
  <c r="BI237" i="1"/>
  <c r="BH277" i="1"/>
  <c r="BC121" i="1"/>
  <c r="BF121" i="1"/>
  <c r="BD121" i="1"/>
  <c r="BB121" i="1"/>
  <c r="BI121" i="1"/>
  <c r="BH52" i="1"/>
  <c r="S120" i="1"/>
  <c r="BH78" i="1"/>
  <c r="BH14" i="1"/>
  <c r="BI326" i="1"/>
  <c r="AS326" i="1"/>
  <c r="AU326" i="1"/>
  <c r="AT326" i="1"/>
  <c r="BH291" i="1"/>
  <c r="BH385" i="1"/>
  <c r="BH305" i="1"/>
  <c r="AT210" i="1"/>
  <c r="AU210" i="1"/>
  <c r="BI210" i="1"/>
  <c r="AS210" i="1"/>
  <c r="BH83" i="1"/>
  <c r="BH15" i="1"/>
  <c r="BH349" i="1"/>
  <c r="BH236" i="1"/>
  <c r="AT211" i="1"/>
  <c r="BI211" i="1"/>
  <c r="AS211" i="1"/>
  <c r="AU211" i="1"/>
  <c r="BH317" i="1"/>
  <c r="BF206" i="1"/>
  <c r="BD206" i="1"/>
  <c r="BB206" i="1"/>
  <c r="BC206" i="1"/>
  <c r="BI206" i="1"/>
  <c r="BH235" i="1"/>
  <c r="BH79" i="1"/>
  <c r="BH105" i="1"/>
  <c r="BH174" i="1"/>
  <c r="BH102" i="1"/>
  <c r="BH323" i="1"/>
  <c r="BH51" i="1"/>
  <c r="BH275" i="1"/>
  <c r="BH238" i="1"/>
  <c r="BI169" i="1"/>
  <c r="AU169" i="1"/>
  <c r="AS169" i="1"/>
  <c r="AT169" i="1"/>
  <c r="BH366" i="1"/>
  <c r="BH384" i="1"/>
  <c r="S312" i="1"/>
  <c r="BH270" i="1"/>
  <c r="BH287" i="1"/>
  <c r="BH204" i="1"/>
  <c r="BF177" i="1"/>
  <c r="BD177" i="1"/>
  <c r="BC177" i="1"/>
  <c r="BB177" i="1"/>
  <c r="BH131" i="1"/>
  <c r="S55" i="1"/>
  <c r="BH113" i="1"/>
  <c r="BH34" i="1"/>
  <c r="S377" i="1"/>
  <c r="AU331" i="1"/>
  <c r="AT331" i="1"/>
  <c r="AS331" i="1"/>
  <c r="BI331" i="1"/>
  <c r="BH382" i="1"/>
  <c r="AT177" i="1"/>
  <c r="BI177" i="1"/>
  <c r="AU177" i="1"/>
  <c r="AS177" i="1"/>
  <c r="BH189" i="1"/>
  <c r="BH28" i="1"/>
  <c r="BH104" i="1"/>
  <c r="BB335" i="1"/>
  <c r="BD335" i="1"/>
  <c r="BC335" i="1"/>
  <c r="S174" i="1"/>
  <c r="BI223" i="1"/>
  <c r="AS223" i="1"/>
  <c r="AU223" i="1"/>
  <c r="AT223" i="1"/>
  <c r="AR400" i="1"/>
  <c r="J401" i="1" s="1"/>
  <c r="AT7" i="1"/>
  <c r="BI7" i="1"/>
  <c r="AS7" i="1"/>
  <c r="AU7" i="1"/>
  <c r="BH344" i="1"/>
  <c r="BH364" i="1"/>
  <c r="BH308" i="1"/>
  <c r="S150" i="1"/>
  <c r="S91" i="1"/>
  <c r="BH53" i="1"/>
  <c r="H403" i="1"/>
  <c r="H401" i="1" s="1"/>
  <c r="BH370" i="1"/>
  <c r="S256" i="1"/>
  <c r="S151" i="1"/>
  <c r="BH192" i="1"/>
  <c r="BH158" i="1"/>
  <c r="BH32" i="1"/>
  <c r="BH59" i="1"/>
  <c r="BH35" i="1"/>
  <c r="BH318" i="1"/>
  <c r="BH264" i="1"/>
  <c r="BH224" i="1"/>
  <c r="BH144" i="1"/>
  <c r="BH179" i="1"/>
  <c r="BH119" i="1"/>
  <c r="BH212" i="1"/>
  <c r="BC80" i="1"/>
  <c r="BD80" i="1"/>
  <c r="BB80" i="1"/>
  <c r="BI80" i="1"/>
  <c r="BH29" i="1"/>
  <c r="BH33" i="1"/>
  <c r="BH41" i="1"/>
  <c r="BH23" i="1"/>
  <c r="BH81" i="1"/>
  <c r="BH381" i="1"/>
  <c r="BH389" i="1"/>
  <c r="BH328" i="1"/>
  <c r="BD293" i="1"/>
  <c r="BC293" i="1"/>
  <c r="BB293" i="1"/>
  <c r="BI293" i="1"/>
  <c r="BH327" i="1"/>
  <c r="BH173" i="1"/>
  <c r="BH65" i="1"/>
  <c r="BD387" i="1"/>
  <c r="BC387" i="1"/>
  <c r="BB387" i="1"/>
  <c r="BF387" i="1"/>
  <c r="BH392" i="1"/>
  <c r="BH394" i="1"/>
  <c r="BC225" i="1"/>
  <c r="BD225" i="1"/>
  <c r="BB225" i="1"/>
  <c r="BF225" i="1"/>
  <c r="BH297" i="1"/>
  <c r="BH176" i="1"/>
  <c r="BH195" i="1"/>
  <c r="BH136" i="1"/>
  <c r="BH58" i="1"/>
  <c r="BI345" i="1"/>
  <c r="AT345" i="1"/>
  <c r="AU345" i="1"/>
  <c r="AS345" i="1"/>
  <c r="BF375" i="1"/>
  <c r="BB375" i="1"/>
  <c r="BD375" i="1"/>
  <c r="BC375" i="1"/>
  <c r="BI375" i="1"/>
  <c r="S348" i="1"/>
  <c r="BH358" i="1"/>
  <c r="S199" i="1"/>
  <c r="S204" i="1"/>
  <c r="S71" i="1"/>
  <c r="P401" i="1"/>
  <c r="BH20" i="1"/>
  <c r="BH12" i="1"/>
  <c r="BD361" i="1"/>
  <c r="BF361" i="1"/>
  <c r="BC361" i="1"/>
  <c r="BB361" i="1"/>
  <c r="BI361" i="1"/>
  <c r="S289" i="1"/>
  <c r="BH374" i="1"/>
  <c r="S298" i="1"/>
  <c r="BC214" i="1"/>
  <c r="BB214" i="1"/>
  <c r="BD214" i="1"/>
  <c r="BF214" i="1"/>
  <c r="AS198" i="1"/>
  <c r="AT198" i="1"/>
  <c r="BI198" i="1"/>
  <c r="S164" i="1"/>
  <c r="BI369" i="1"/>
  <c r="AT369" i="1"/>
  <c r="AS369" i="1"/>
  <c r="AW369" i="1"/>
  <c r="AU369" i="1"/>
  <c r="BB376" i="1"/>
  <c r="BF376" i="1"/>
  <c r="BC376" i="1"/>
  <c r="BD376" i="1"/>
  <c r="BH362" i="1"/>
  <c r="BH330" i="1"/>
  <c r="BH302" i="1"/>
  <c r="BH160" i="1"/>
  <c r="BH191" i="1"/>
  <c r="BH356" i="1"/>
  <c r="BH339" i="1"/>
  <c r="BH278" i="1"/>
  <c r="BB255" i="1"/>
  <c r="BF255" i="1"/>
  <c r="BD255" i="1"/>
  <c r="BC255" i="1"/>
  <c r="S350" i="1"/>
  <c r="BH250" i="1"/>
  <c r="AT259" i="1"/>
  <c r="BI259" i="1"/>
  <c r="AS259" i="1"/>
  <c r="AU259" i="1"/>
  <c r="BF257" i="1"/>
  <c r="BI257" i="1"/>
  <c r="BD257" i="1"/>
  <c r="BC257" i="1"/>
  <c r="BB257" i="1"/>
  <c r="BH244" i="1"/>
  <c r="BC198" i="1"/>
  <c r="BD198" i="1"/>
  <c r="BB198" i="1"/>
  <c r="BF198" i="1"/>
  <c r="BH220" i="1"/>
  <c r="BB185" i="1"/>
  <c r="BD185" i="1"/>
  <c r="BF185" i="1"/>
  <c r="BC185" i="1"/>
  <c r="BH233" i="1"/>
  <c r="BF205" i="1"/>
  <c r="BB205" i="1"/>
  <c r="BD205" i="1"/>
  <c r="BC205" i="1"/>
  <c r="BI196" i="1"/>
  <c r="AT196" i="1"/>
  <c r="AS196" i="1"/>
  <c r="BH141" i="1"/>
  <c r="BB13" i="1"/>
  <c r="BF13" i="1"/>
  <c r="BD13" i="1"/>
  <c r="BC13" i="1"/>
  <c r="BH92" i="1"/>
  <c r="S98" i="1"/>
  <c r="BH55" i="1"/>
  <c r="BH99" i="1"/>
  <c r="BH170" i="1"/>
  <c r="BH21" i="1"/>
  <c r="S333" i="1"/>
  <c r="BH350" i="1"/>
  <c r="BH380" i="1"/>
  <c r="BH396" i="1"/>
  <c r="BH337" i="1"/>
  <c r="BH351" i="1"/>
  <c r="BH391" i="1"/>
  <c r="BH316" i="1"/>
  <c r="BB300" i="1"/>
  <c r="BC300" i="1"/>
  <c r="BD300" i="1"/>
  <c r="BI300" i="1"/>
  <c r="BH319" i="1"/>
  <c r="BH285" i="1"/>
  <c r="S310" i="1"/>
  <c r="AU225" i="1"/>
  <c r="AT225" i="1"/>
  <c r="BI225" i="1"/>
  <c r="AS225" i="1"/>
  <c r="AU184" i="1"/>
  <c r="BI184" i="1"/>
  <c r="AT184" i="1"/>
  <c r="AS184" i="1"/>
  <c r="AT214" i="1"/>
  <c r="BI214" i="1"/>
  <c r="AS214" i="1"/>
  <c r="AU214" i="1"/>
  <c r="BH138" i="1"/>
  <c r="BH140" i="1"/>
  <c r="BH181" i="1"/>
  <c r="BH164" i="1"/>
  <c r="BH215" i="1"/>
  <c r="BH123" i="1"/>
  <c r="BH161" i="1"/>
  <c r="BH199" i="1"/>
  <c r="AU103" i="1"/>
  <c r="AT103" i="1"/>
  <c r="BI103" i="1"/>
  <c r="AS103" i="1"/>
  <c r="AW103" i="1"/>
  <c r="S130" i="1"/>
  <c r="BH17" i="1"/>
  <c r="BH347" i="1"/>
  <c r="BH311" i="1"/>
  <c r="BH371" i="1"/>
  <c r="BF268" i="1"/>
  <c r="BD268" i="1"/>
  <c r="BC268" i="1"/>
  <c r="BB268" i="1"/>
  <c r="BC243" i="1"/>
  <c r="BB243" i="1"/>
  <c r="BF243" i="1"/>
  <c r="BD243" i="1"/>
  <c r="BH258" i="1"/>
  <c r="BH256" i="1"/>
  <c r="AU156" i="1"/>
  <c r="AS156" i="1"/>
  <c r="BI156" i="1"/>
  <c r="AT156" i="1"/>
  <c r="BH325" i="1"/>
  <c r="BF253" i="1"/>
  <c r="BD253" i="1"/>
  <c r="BC253" i="1"/>
  <c r="BB253" i="1"/>
  <c r="BH274" i="1"/>
  <c r="BI255" i="1"/>
  <c r="BH209" i="1"/>
  <c r="BH260" i="1"/>
  <c r="BH208" i="1"/>
  <c r="BH172" i="1"/>
  <c r="BH180" i="1"/>
  <c r="BH100" i="1"/>
  <c r="BH107" i="1"/>
  <c r="AW77" i="1"/>
  <c r="AU77" i="1"/>
  <c r="AT77" i="1"/>
  <c r="BI77" i="1"/>
  <c r="AS77" i="1"/>
  <c r="AU111" i="1"/>
  <c r="AT111" i="1"/>
  <c r="BI111" i="1"/>
  <c r="AS111" i="1"/>
  <c r="BH97" i="1"/>
  <c r="BH26" i="1"/>
  <c r="BH134" i="1"/>
  <c r="BH9" i="1"/>
  <c r="BH101" i="1"/>
  <c r="BH18" i="1"/>
  <c r="BH300" i="1"/>
  <c r="BF249" i="1"/>
  <c r="BB249" i="1"/>
  <c r="BC249" i="1"/>
  <c r="BD249" i="1"/>
  <c r="BH276" i="1"/>
  <c r="BH272" i="1"/>
  <c r="AT148" i="1"/>
  <c r="AU148" i="1"/>
  <c r="AS148" i="1"/>
  <c r="BI148" i="1"/>
  <c r="AU241" i="1"/>
  <c r="AT241" i="1"/>
  <c r="AS241" i="1"/>
  <c r="BI241" i="1"/>
  <c r="BH266" i="1"/>
  <c r="BH251" i="1"/>
  <c r="BH185" i="1"/>
  <c r="BF151" i="1"/>
  <c r="BB151" i="1"/>
  <c r="BD151" i="1"/>
  <c r="BC151" i="1"/>
  <c r="BD137" i="1"/>
  <c r="BF137" i="1"/>
  <c r="BC137" i="1"/>
  <c r="BB137" i="1"/>
  <c r="BF66" i="1"/>
  <c r="BD66" i="1"/>
  <c r="BC66" i="1"/>
  <c r="BB66" i="1"/>
  <c r="BH118" i="1"/>
  <c r="AW71" i="1"/>
  <c r="BI71" i="1"/>
  <c r="AU71" i="1"/>
  <c r="AT71" i="1"/>
  <c r="AS71" i="1"/>
  <c r="BH68" i="1"/>
  <c r="BH69" i="1"/>
  <c r="BH88" i="1"/>
  <c r="BH8" i="1"/>
  <c r="BH147" i="1"/>
  <c r="BH19" i="1"/>
  <c r="BH87" i="1"/>
  <c r="BH73" i="1"/>
  <c r="BI13" i="1"/>
  <c r="BF388" i="1"/>
  <c r="BD388" i="1"/>
  <c r="BC388" i="1"/>
  <c r="BB388" i="1"/>
  <c r="BH390" i="1"/>
  <c r="BH342" i="1"/>
  <c r="BH365" i="1"/>
  <c r="BC354" i="1"/>
  <c r="BF354" i="1"/>
  <c r="BD354" i="1"/>
  <c r="BI267" i="1"/>
  <c r="AU267" i="1"/>
  <c r="AT267" i="1"/>
  <c r="AS267" i="1"/>
  <c r="BH361" i="1"/>
  <c r="BI216" i="1"/>
  <c r="AU216" i="1"/>
  <c r="AT216" i="1"/>
  <c r="AS216" i="1"/>
  <c r="BH353" i="1"/>
  <c r="BI249" i="1"/>
  <c r="BH298" i="1"/>
  <c r="BH280" i="1"/>
  <c r="BH254" i="1"/>
  <c r="S128" i="1"/>
  <c r="BH207" i="1"/>
  <c r="BH114" i="1"/>
  <c r="BF163" i="1"/>
  <c r="BD163" i="1"/>
  <c r="BB163" i="1"/>
  <c r="BC163" i="1"/>
  <c r="AS124" i="1"/>
  <c r="AW124" i="1"/>
  <c r="AU124" i="1"/>
  <c r="AT124" i="1"/>
  <c r="BI124" i="1"/>
  <c r="BH86" i="1"/>
  <c r="BH128" i="1"/>
  <c r="AW108" i="1"/>
  <c r="AU108" i="1"/>
  <c r="BI108" i="1"/>
  <c r="AS108" i="1"/>
  <c r="AT108" i="1"/>
  <c r="AW85" i="1"/>
  <c r="AU85" i="1"/>
  <c r="BI85" i="1"/>
  <c r="AS85" i="1"/>
  <c r="AT85" i="1"/>
  <c r="BH230" i="1"/>
  <c r="BD54" i="1"/>
  <c r="BC54" i="1"/>
  <c r="BB54" i="1"/>
  <c r="AW75" i="1"/>
  <c r="AT75" i="1"/>
  <c r="BI75" i="1"/>
  <c r="AS75" i="1"/>
  <c r="AU75" i="1"/>
  <c r="BH62" i="1"/>
  <c r="BH37" i="1"/>
  <c r="BH74" i="1"/>
  <c r="S42" i="1"/>
  <c r="BH168" i="1"/>
  <c r="BH31" i="1"/>
  <c r="AU343" i="1"/>
  <c r="BI343" i="1"/>
  <c r="AT343" i="1"/>
  <c r="AS343" i="1"/>
  <c r="BH314" i="1"/>
  <c r="BH383" i="1"/>
  <c r="BH332" i="1"/>
  <c r="BH346" i="1"/>
  <c r="AT307" i="1"/>
  <c r="AS307" i="1"/>
  <c r="AU307" i="1"/>
  <c r="BI307" i="1"/>
  <c r="AW307" i="1"/>
  <c r="BH348" i="1"/>
  <c r="BH324" i="1"/>
  <c r="BH322" i="1"/>
  <c r="BH363" i="1"/>
  <c r="BH329" i="1"/>
  <c r="AW282" i="1"/>
  <c r="AU282" i="1"/>
  <c r="AT282" i="1"/>
  <c r="BI282" i="1"/>
  <c r="AS282" i="1"/>
  <c r="BH320" i="1"/>
  <c r="AS232" i="1"/>
  <c r="BI232" i="1"/>
  <c r="AT232" i="1"/>
  <c r="AU232" i="1"/>
  <c r="AU139" i="1"/>
  <c r="AT139" i="1"/>
  <c r="AS139" i="1"/>
  <c r="BI139" i="1"/>
  <c r="AT271" i="1"/>
  <c r="AU271" i="1"/>
  <c r="AS271" i="1"/>
  <c r="BI271" i="1"/>
  <c r="BI185" i="1"/>
  <c r="BH187" i="1"/>
  <c r="BH219" i="1"/>
  <c r="AU171" i="1"/>
  <c r="AT171" i="1"/>
  <c r="BI171" i="1"/>
  <c r="AS171" i="1"/>
  <c r="BH133" i="1"/>
  <c r="BI151" i="1"/>
  <c r="BH183" i="1"/>
  <c r="BH142" i="1"/>
  <c r="BH197" i="1"/>
  <c r="S70" i="1"/>
  <c r="BH39" i="1"/>
  <c r="BH110" i="1"/>
  <c r="BH44" i="1"/>
  <c r="BH49" i="1"/>
  <c r="BH13" i="1"/>
  <c r="BH393" i="1"/>
  <c r="BH334" i="1"/>
  <c r="BH354" i="1"/>
  <c r="BH321" i="1"/>
  <c r="BH338" i="1"/>
  <c r="BH340" i="1"/>
  <c r="AT281" i="1"/>
  <c r="AS281" i="1"/>
  <c r="AW281" i="1"/>
  <c r="BI281" i="1"/>
  <c r="AU281" i="1"/>
  <c r="BF203" i="1"/>
  <c r="BB203" i="1"/>
  <c r="BI203" i="1"/>
  <c r="BD203" i="1"/>
  <c r="BC203" i="1"/>
  <c r="BH273" i="1"/>
  <c r="BH242" i="1"/>
  <c r="BH265" i="1"/>
  <c r="BH295" i="1"/>
  <c r="BH231" i="1"/>
  <c r="BD152" i="1"/>
  <c r="BF152" i="1"/>
  <c r="BC152" i="1"/>
  <c r="BH152" i="1" s="1"/>
  <c r="BB152" i="1"/>
  <c r="BH202" i="1"/>
  <c r="BH153" i="1"/>
  <c r="BH90" i="1"/>
  <c r="BH261" i="1"/>
  <c r="BH145" i="1"/>
  <c r="BH151" i="1"/>
  <c r="BD40" i="1"/>
  <c r="BF40" i="1"/>
  <c r="BC40" i="1"/>
  <c r="BB40" i="1"/>
  <c r="BH122" i="1"/>
  <c r="AT149" i="1"/>
  <c r="AU149" i="1"/>
  <c r="BI149" i="1"/>
  <c r="AS149" i="1"/>
  <c r="BH165" i="1"/>
  <c r="BI66" i="1"/>
  <c r="BH50" i="1"/>
  <c r="BH40" i="1"/>
  <c r="BH60" i="1"/>
  <c r="BH355" i="1"/>
  <c r="BH352" i="1"/>
  <c r="S311" i="1"/>
  <c r="BH306" i="1"/>
  <c r="BH229" i="1"/>
  <c r="BI388" i="1"/>
  <c r="BH290" i="1"/>
  <c r="AS167" i="1"/>
  <c r="AU167" i="1"/>
  <c r="AT167" i="1"/>
  <c r="BI167" i="1"/>
  <c r="BH240" i="1"/>
  <c r="BH143" i="1"/>
  <c r="BH226" i="1"/>
  <c r="BF180" i="1"/>
  <c r="BD180" i="1"/>
  <c r="BC180" i="1"/>
  <c r="BB180" i="1"/>
  <c r="BB149" i="1"/>
  <c r="BD149" i="1"/>
  <c r="BF149" i="1"/>
  <c r="BC149" i="1"/>
  <c r="BH162" i="1"/>
  <c r="BH132" i="1"/>
  <c r="BH16" i="1"/>
  <c r="BH45" i="1"/>
  <c r="BH64" i="1"/>
  <c r="BH130" i="1"/>
  <c r="BC93" i="1"/>
  <c r="BB93" i="1"/>
  <c r="BD93" i="1"/>
  <c r="BH56" i="1"/>
  <c r="BH120" i="1"/>
  <c r="BH166" i="1"/>
  <c r="BH70" i="1"/>
  <c r="BI163" i="1"/>
  <c r="BH76" i="1"/>
  <c r="BH66" i="1"/>
  <c r="BH25" i="1"/>
  <c r="BH11" i="1"/>
  <c r="BH378" i="1"/>
  <c r="BH292" i="1"/>
  <c r="BH247" i="1"/>
  <c r="BH376" i="1"/>
  <c r="BH245" i="1"/>
  <c r="BH388" i="1"/>
  <c r="S239" i="1"/>
  <c r="S207" i="1"/>
  <c r="BA400" i="1"/>
  <c r="BD7" i="1"/>
  <c r="BF7" i="1"/>
  <c r="BC7" i="1"/>
  <c r="BB7" i="1"/>
  <c r="BH213" i="1"/>
  <c r="BH91" i="1"/>
  <c r="BH193" i="1"/>
  <c r="BI27" i="1"/>
  <c r="AS27" i="1"/>
  <c r="AW27" i="1"/>
  <c r="AU27" i="1"/>
  <c r="AT27" i="1"/>
  <c r="BH117" i="1"/>
  <c r="AU63" i="1"/>
  <c r="BI63" i="1"/>
  <c r="AS63" i="1"/>
  <c r="AT63" i="1"/>
  <c r="AW63" i="1"/>
  <c r="BH116" i="1"/>
  <c r="Q401" i="1"/>
  <c r="BH125" i="1"/>
  <c r="H404" i="1"/>
  <c r="BH157" i="1"/>
  <c r="BH155" i="1"/>
  <c r="BD127" i="1"/>
  <c r="BF127" i="1"/>
  <c r="BB127" i="1"/>
  <c r="BC127" i="1"/>
  <c r="BH127" i="1" s="1"/>
  <c r="BH222" i="1"/>
  <c r="BH30" i="1"/>
  <c r="Q403" i="1"/>
  <c r="BH112" i="1"/>
  <c r="BH106" i="1"/>
  <c r="BH46" i="1"/>
  <c r="BH135" i="1"/>
  <c r="S371" i="1"/>
  <c r="AW333" i="1"/>
  <c r="AU333" i="1"/>
  <c r="BI333" i="1"/>
  <c r="AT333" i="1"/>
  <c r="AS333" i="1"/>
  <c r="AU296" i="1"/>
  <c r="AT296" i="1"/>
  <c r="AW296" i="1"/>
  <c r="AS296" i="1"/>
  <c r="BI296" i="1"/>
  <c r="BH357" i="1"/>
  <c r="AS294" i="1"/>
  <c r="AU294" i="1"/>
  <c r="AT294" i="1"/>
  <c r="BI294" i="1"/>
  <c r="BH315" i="1"/>
  <c r="BH373" i="1"/>
  <c r="BB310" i="1"/>
  <c r="BF310" i="1"/>
  <c r="BC310" i="1"/>
  <c r="BD310" i="1"/>
  <c r="BH286" i="1"/>
  <c r="BH309" i="1"/>
  <c r="BH304" i="1"/>
  <c r="BH252" i="1"/>
  <c r="BH269" i="1"/>
  <c r="BH246" i="1"/>
  <c r="AT218" i="1"/>
  <c r="BI218" i="1"/>
  <c r="AS218" i="1"/>
  <c r="AU218" i="1"/>
  <c r="BH289" i="1"/>
  <c r="BH154" i="1"/>
  <c r="BF150" i="1"/>
  <c r="BB150" i="1"/>
  <c r="BD150" i="1"/>
  <c r="BC150" i="1"/>
  <c r="BH150" i="1" s="1"/>
  <c r="BI150" i="1"/>
  <c r="BH217" i="1"/>
  <c r="BB157" i="1"/>
  <c r="BD157" i="1"/>
  <c r="BF157" i="1"/>
  <c r="BC157" i="1"/>
  <c r="BH228" i="1"/>
  <c r="BH234" i="1"/>
  <c r="BH194" i="1"/>
  <c r="BC182" i="1"/>
  <c r="BF182" i="1"/>
  <c r="BD182" i="1"/>
  <c r="BB182" i="1"/>
  <c r="BH109" i="1"/>
  <c r="BH96" i="1"/>
  <c r="BH126" i="1"/>
  <c r="BH67" i="1"/>
  <c r="BH98" i="1"/>
  <c r="BH221" i="1"/>
  <c r="BH159" i="1"/>
  <c r="BH84" i="1"/>
  <c r="BH89" i="1"/>
  <c r="BH38" i="1"/>
  <c r="BH343" i="1" l="1"/>
  <c r="BH108" i="1"/>
  <c r="BH326" i="1"/>
  <c r="BH75" i="1"/>
  <c r="BH281" i="1"/>
  <c r="AU400" i="1"/>
  <c r="J403" i="1" s="1"/>
  <c r="BH333" i="1"/>
  <c r="BH206" i="1"/>
  <c r="BH253" i="1"/>
  <c r="BE163" i="1"/>
  <c r="BH282" i="1"/>
  <c r="BH103" i="1"/>
  <c r="BH223" i="1"/>
  <c r="BH196" i="1"/>
  <c r="BH184" i="1"/>
  <c r="BH63" i="1"/>
  <c r="BH167" i="1"/>
  <c r="BH139" i="1"/>
  <c r="BH216" i="1"/>
  <c r="BH310" i="1"/>
  <c r="BH296" i="1"/>
  <c r="BH203" i="1"/>
  <c r="BH293" i="1"/>
  <c r="BH124" i="1"/>
  <c r="BH93" i="1"/>
  <c r="BH241" i="1"/>
  <c r="BH156" i="1"/>
  <c r="BH171" i="1"/>
  <c r="BH257" i="1"/>
  <c r="BH54" i="1"/>
  <c r="BH232" i="1"/>
  <c r="BH211" i="1"/>
  <c r="BH182" i="1"/>
  <c r="BH218" i="1"/>
  <c r="BH163" i="1"/>
  <c r="BH27" i="1"/>
  <c r="BB400" i="1"/>
  <c r="BE405" i="1" s="1"/>
  <c r="BH249" i="1"/>
  <c r="BH137" i="1"/>
  <c r="BE268" i="1"/>
  <c r="BE13" i="1"/>
  <c r="BH345" i="1"/>
  <c r="AV345" i="1"/>
  <c r="AW345" i="1" s="1"/>
  <c r="BH80" i="1"/>
  <c r="AS400" i="1"/>
  <c r="BH331" i="1"/>
  <c r="BH359" i="1"/>
  <c r="AV359" i="1"/>
  <c r="AW359" i="1" s="1"/>
  <c r="BH369" i="1"/>
  <c r="AT400" i="1"/>
  <c r="AV223" i="1" s="1"/>
  <c r="AW223" i="1" s="1"/>
  <c r="BH7" i="1"/>
  <c r="BH169" i="1"/>
  <c r="BH210" i="1"/>
  <c r="BE205" i="1"/>
  <c r="BH205" i="1"/>
  <c r="BH255" i="1"/>
  <c r="BH307" i="1"/>
  <c r="BH148" i="1"/>
  <c r="BH111" i="1"/>
  <c r="BH198" i="1"/>
  <c r="BH375" i="1"/>
  <c r="BH177" i="1"/>
  <c r="AV259" i="1"/>
  <c r="AW259" i="1" s="1"/>
  <c r="BH259" i="1"/>
  <c r="BC400" i="1"/>
  <c r="BE93" i="1" s="1"/>
  <c r="BF93" i="1" s="1"/>
  <c r="BE7" i="1"/>
  <c r="BE388" i="1"/>
  <c r="BH225" i="1"/>
  <c r="AV225" i="1"/>
  <c r="AW225" i="1" s="1"/>
  <c r="BE237" i="1"/>
  <c r="BF237" i="1" s="1"/>
  <c r="BH237" i="1"/>
  <c r="BH267" i="1"/>
  <c r="BE66" i="1"/>
  <c r="BE198" i="1"/>
  <c r="BE335" i="1"/>
  <c r="BF335" i="1" s="1"/>
  <c r="BH335" i="1"/>
  <c r="BE150" i="1"/>
  <c r="BH271" i="1"/>
  <c r="BE387" i="1"/>
  <c r="BH387" i="1"/>
  <c r="BE121" i="1"/>
  <c r="BH121" i="1"/>
  <c r="BH294" i="1"/>
  <c r="BE127" i="1"/>
  <c r="BD400" i="1"/>
  <c r="J404" i="1" s="1"/>
  <c r="BH268" i="1"/>
  <c r="BH149" i="1"/>
  <c r="AV85" i="1"/>
  <c r="BH85" i="1"/>
  <c r="BH71" i="1"/>
  <c r="BH77" i="1"/>
  <c r="BE243" i="1"/>
  <c r="BH243" i="1"/>
  <c r="BH214" i="1"/>
  <c r="BE185" i="1"/>
  <c r="AV169" i="1" l="1"/>
  <c r="AW169" i="1" s="1"/>
  <c r="BJ257" i="1"/>
  <c r="BK257" i="1" s="1"/>
  <c r="AV171" i="1"/>
  <c r="AW171" i="1" s="1"/>
  <c r="AV108" i="1"/>
  <c r="BE300" i="1"/>
  <c r="BF300" i="1" s="1"/>
  <c r="AV198" i="1"/>
  <c r="AW198" i="1" s="1"/>
  <c r="AV405" i="1"/>
  <c r="AV218" i="1"/>
  <c r="AW218" i="1" s="1"/>
  <c r="BE257" i="1"/>
  <c r="BE225" i="1"/>
  <c r="AV343" i="1"/>
  <c r="AW343" i="1" s="1"/>
  <c r="BJ225" i="1"/>
  <c r="BK225" i="1" s="1"/>
  <c r="BE214" i="1"/>
  <c r="BJ77" i="1"/>
  <c r="BK77" i="1" s="1"/>
  <c r="AV149" i="1"/>
  <c r="AW149" i="1" s="1"/>
  <c r="BJ198" i="1"/>
  <c r="BK198" i="1" s="1"/>
  <c r="BE180" i="1"/>
  <c r="BJ218" i="1"/>
  <c r="BK218" i="1" s="1"/>
  <c r="AV232" i="1"/>
  <c r="AW232" i="1" s="1"/>
  <c r="AV124" i="1"/>
  <c r="AV216" i="1"/>
  <c r="AW216" i="1" s="1"/>
  <c r="BE182" i="1"/>
  <c r="AV75" i="1"/>
  <c r="BJ243" i="1"/>
  <c r="BK243" i="1" s="1"/>
  <c r="AV77" i="1"/>
  <c r="BJ149" i="1"/>
  <c r="BK149" i="1" s="1"/>
  <c r="BJ335" i="1"/>
  <c r="BK335" i="1" s="1"/>
  <c r="BE177" i="1"/>
  <c r="AV156" i="1"/>
  <c r="AW156" i="1" s="1"/>
  <c r="BJ216" i="1"/>
  <c r="BK216" i="1" s="1"/>
  <c r="AV333" i="1"/>
  <c r="BJ214" i="1"/>
  <c r="BK214" i="1" s="1"/>
  <c r="BJ54" i="1"/>
  <c r="BK54" i="1" s="1"/>
  <c r="BJ63" i="1"/>
  <c r="BK63" i="1" s="1"/>
  <c r="BJ103" i="1"/>
  <c r="BK103" i="1" s="1"/>
  <c r="AV267" i="1"/>
  <c r="AW267" i="1" s="1"/>
  <c r="AV307" i="1"/>
  <c r="BJ359" i="1"/>
  <c r="BK359" i="1" s="1"/>
  <c r="BE157" i="1"/>
  <c r="AV63" i="1"/>
  <c r="AV103" i="1"/>
  <c r="AV281" i="1"/>
  <c r="BJ85" i="1"/>
  <c r="BK85" i="1" s="1"/>
  <c r="BE376" i="1"/>
  <c r="AV369" i="1"/>
  <c r="BJ203" i="1"/>
  <c r="BK203" i="1" s="1"/>
  <c r="BE253" i="1"/>
  <c r="AV71" i="1"/>
  <c r="BJ71" i="1"/>
  <c r="BK71" i="1" s="1"/>
  <c r="AV210" i="1"/>
  <c r="AW210" i="1" s="1"/>
  <c r="BJ369" i="1"/>
  <c r="BK369" i="1" s="1"/>
  <c r="BJ249" i="1"/>
  <c r="BK249" i="1" s="1"/>
  <c r="BE361" i="1"/>
  <c r="BE203" i="1"/>
  <c r="AV139" i="1"/>
  <c r="AW139" i="1" s="1"/>
  <c r="BJ241" i="1"/>
  <c r="BK241" i="1" s="1"/>
  <c r="BE40" i="1"/>
  <c r="P405" i="1"/>
  <c r="BE149" i="1"/>
  <c r="BJ210" i="1"/>
  <c r="BK210" i="1" s="1"/>
  <c r="AV294" i="1"/>
  <c r="AW294" i="1" s="1"/>
  <c r="AV177" i="1"/>
  <c r="AW177" i="1" s="1"/>
  <c r="BE255" i="1"/>
  <c r="BJ345" i="1"/>
  <c r="BK345" i="1" s="1"/>
  <c r="AV27" i="1"/>
  <c r="AV241" i="1"/>
  <c r="AW241" i="1" s="1"/>
  <c r="BJ196" i="1"/>
  <c r="BK196" i="1" s="1"/>
  <c r="BJ111" i="1"/>
  <c r="BK111" i="1" s="1"/>
  <c r="AV7" i="1"/>
  <c r="BJ27" i="1"/>
  <c r="BK27" i="1" s="1"/>
  <c r="BE293" i="1"/>
  <c r="BF293" i="1" s="1"/>
  <c r="BE152" i="1"/>
  <c r="AV196" i="1"/>
  <c r="AW196" i="1" s="1"/>
  <c r="BJ206" i="1"/>
  <c r="BK206" i="1" s="1"/>
  <c r="AV326" i="1"/>
  <c r="AW326" i="1" s="1"/>
  <c r="AV111" i="1"/>
  <c r="AW111" i="1" s="1"/>
  <c r="BJ205" i="1"/>
  <c r="BK205" i="1" s="1"/>
  <c r="BH400" i="1"/>
  <c r="BJ7" i="1"/>
  <c r="BE80" i="1"/>
  <c r="BF80" i="1" s="1"/>
  <c r="BJ93" i="1"/>
  <c r="BK93" i="1" s="1"/>
  <c r="BE354" i="1"/>
  <c r="AV184" i="1"/>
  <c r="AW184" i="1" s="1"/>
  <c r="BJ223" i="1"/>
  <c r="BK223" i="1" s="1"/>
  <c r="AV282" i="1"/>
  <c r="BE206" i="1"/>
  <c r="BE151" i="1"/>
  <c r="BJ326" i="1"/>
  <c r="BK326" i="1" s="1"/>
  <c r="BE310" i="1"/>
  <c r="BE137" i="1"/>
  <c r="AV167" i="1"/>
  <c r="AW167" i="1" s="1"/>
  <c r="BJ184" i="1"/>
  <c r="BK184" i="1" s="1"/>
  <c r="AV404" i="1"/>
  <c r="AV299" i="1"/>
  <c r="AV372" i="1"/>
  <c r="AV288" i="1"/>
  <c r="AV311" i="1"/>
  <c r="AV239" i="1"/>
  <c r="AW239" i="1" s="1"/>
  <c r="AV200" i="1"/>
  <c r="AW200" i="1" s="1"/>
  <c r="AV237" i="1"/>
  <c r="AV154" i="1"/>
  <c r="AW154" i="1" s="1"/>
  <c r="AV189" i="1"/>
  <c r="AW189" i="1" s="1"/>
  <c r="AV160" i="1"/>
  <c r="AW160" i="1" s="1"/>
  <c r="AV93" i="1"/>
  <c r="AV15" i="1"/>
  <c r="AW15" i="1" s="1"/>
  <c r="AV70" i="1"/>
  <c r="AW70" i="1" s="1"/>
  <c r="AV188" i="1"/>
  <c r="AW188" i="1" s="1"/>
  <c r="AV301" i="1"/>
  <c r="N405" i="1"/>
  <c r="AV121" i="1"/>
  <c r="AW121" i="1" s="1"/>
  <c r="AV72" i="1"/>
  <c r="AW72" i="1" s="1"/>
  <c r="AV22" i="1"/>
  <c r="AW22" i="1" s="1"/>
  <c r="AV48" i="1"/>
  <c r="AV36" i="1"/>
  <c r="AV166" i="1"/>
  <c r="AW166" i="1" s="1"/>
  <c r="AV178" i="1"/>
  <c r="AW178" i="1" s="1"/>
  <c r="AV221" i="1"/>
  <c r="AW221" i="1" s="1"/>
  <c r="AV283" i="1"/>
  <c r="AV313" i="1"/>
  <c r="AW313" i="1" s="1"/>
  <c r="AV115" i="1"/>
  <c r="AW115" i="1" s="1"/>
  <c r="AV248" i="1"/>
  <c r="AW248" i="1" s="1"/>
  <c r="AV336" i="1"/>
  <c r="AV303" i="1"/>
  <c r="AV57" i="1"/>
  <c r="AV38" i="1"/>
  <c r="AW38" i="1" s="1"/>
  <c r="AV120" i="1"/>
  <c r="AW120" i="1" s="1"/>
  <c r="AV130" i="1"/>
  <c r="AW130" i="1" s="1"/>
  <c r="AV137" i="1"/>
  <c r="AW137" i="1" s="1"/>
  <c r="AV10" i="1"/>
  <c r="AV126" i="1"/>
  <c r="AW126" i="1" s="1"/>
  <c r="AV277" i="1"/>
  <c r="AV341" i="1"/>
  <c r="AV74" i="1"/>
  <c r="AW74" i="1" s="1"/>
  <c r="AV43" i="1"/>
  <c r="AV47" i="1"/>
  <c r="AV203" i="1"/>
  <c r="AW203" i="1" s="1"/>
  <c r="AV227" i="1"/>
  <c r="AW227" i="1" s="1"/>
  <c r="M405" i="1"/>
  <c r="AV101" i="1"/>
  <c r="AV129" i="1"/>
  <c r="AW129" i="1" s="1"/>
  <c r="AV24" i="1"/>
  <c r="AV186" i="1"/>
  <c r="AW186" i="1" s="1"/>
  <c r="AV205" i="1"/>
  <c r="AW205" i="1" s="1"/>
  <c r="AV363" i="1"/>
  <c r="AV263" i="1"/>
  <c r="AV387" i="1"/>
  <c r="AV61" i="1"/>
  <c r="AW61" i="1" s="1"/>
  <c r="AV293" i="1"/>
  <c r="AV81" i="1"/>
  <c r="AV95" i="1"/>
  <c r="AV190" i="1"/>
  <c r="AW190" i="1" s="1"/>
  <c r="AV144" i="1"/>
  <c r="AW144" i="1" s="1"/>
  <c r="AV279" i="1"/>
  <c r="AW279" i="1" s="1"/>
  <c r="AV257" i="1"/>
  <c r="AW257" i="1" s="1"/>
  <c r="AV175" i="1"/>
  <c r="AW175" i="1" s="1"/>
  <c r="AV335" i="1"/>
  <c r="AV82" i="1"/>
  <c r="AV318" i="1"/>
  <c r="AW318" i="1" s="1"/>
  <c r="AV305" i="1"/>
  <c r="AV374" i="1"/>
  <c r="AV312" i="1"/>
  <c r="AW312" i="1" s="1"/>
  <c r="AV357" i="1"/>
  <c r="AW357" i="1" s="1"/>
  <c r="AV234" i="1"/>
  <c r="AW234" i="1" s="1"/>
  <c r="AV284" i="1"/>
  <c r="AV360" i="1"/>
  <c r="AW360" i="1" s="1"/>
  <c r="AV377" i="1"/>
  <c r="AW377" i="1" s="1"/>
  <c r="AV80" i="1"/>
  <c r="AV42" i="1"/>
  <c r="AW42" i="1" s="1"/>
  <c r="AV146" i="1"/>
  <c r="AW146" i="1" s="1"/>
  <c r="AV142" i="1"/>
  <c r="AW142" i="1" s="1"/>
  <c r="AV262" i="1"/>
  <c r="AV243" i="1"/>
  <c r="AW243" i="1" s="1"/>
  <c r="AV252" i="1"/>
  <c r="AW252" i="1" s="1"/>
  <c r="AV289" i="1"/>
  <c r="AV367" i="1"/>
  <c r="AV94" i="1"/>
  <c r="AV201" i="1"/>
  <c r="AW201" i="1" s="1"/>
  <c r="AV14" i="1"/>
  <c r="AV51" i="1"/>
  <c r="AW51" i="1" s="1"/>
  <c r="AV238" i="1"/>
  <c r="AW238" i="1" s="1"/>
  <c r="AV382" i="1"/>
  <c r="AW382" i="1" s="1"/>
  <c r="AV158" i="1"/>
  <c r="AW158" i="1" s="1"/>
  <c r="AV327" i="1"/>
  <c r="AV20" i="1"/>
  <c r="AV244" i="1"/>
  <c r="AW244" i="1" s="1"/>
  <c r="AV316" i="1"/>
  <c r="AV325" i="1"/>
  <c r="AW325" i="1" s="1"/>
  <c r="AV209" i="1"/>
  <c r="AW209" i="1" s="1"/>
  <c r="AV172" i="1"/>
  <c r="AW172" i="1" s="1"/>
  <c r="AV276" i="1"/>
  <c r="AW276" i="1" s="1"/>
  <c r="AV86" i="1"/>
  <c r="AV324" i="1"/>
  <c r="AW324" i="1" s="1"/>
  <c r="AV44" i="1"/>
  <c r="AV338" i="1"/>
  <c r="AV25" i="1"/>
  <c r="AV159" i="1"/>
  <c r="AW159" i="1" s="1"/>
  <c r="AV206" i="1"/>
  <c r="AW206" i="1" s="1"/>
  <c r="AV199" i="1"/>
  <c r="AW199" i="1" s="1"/>
  <c r="AV127" i="1"/>
  <c r="AW127" i="1" s="1"/>
  <c r="AV298" i="1"/>
  <c r="AV226" i="1"/>
  <c r="AW226" i="1" s="1"/>
  <c r="AV132" i="1"/>
  <c r="AW132" i="1" s="1"/>
  <c r="AV11" i="1"/>
  <c r="AV292" i="1"/>
  <c r="AV286" i="1"/>
  <c r="AV96" i="1"/>
  <c r="AV28" i="1"/>
  <c r="AV35" i="1"/>
  <c r="AV179" i="1"/>
  <c r="AV29" i="1"/>
  <c r="AW29" i="1" s="1"/>
  <c r="AV58" i="1"/>
  <c r="AV191" i="1"/>
  <c r="AW191" i="1" s="1"/>
  <c r="AV278" i="1"/>
  <c r="AV337" i="1"/>
  <c r="AV320" i="1"/>
  <c r="AV202" i="1"/>
  <c r="AW202" i="1" s="1"/>
  <c r="AV355" i="1"/>
  <c r="AW355" i="1" s="1"/>
  <c r="AV384" i="1"/>
  <c r="AW384" i="1" s="1"/>
  <c r="AV204" i="1"/>
  <c r="AV364" i="1"/>
  <c r="AV268" i="1"/>
  <c r="AW268" i="1" s="1"/>
  <c r="AV12" i="1"/>
  <c r="AV302" i="1"/>
  <c r="AW302" i="1" s="1"/>
  <c r="AV26" i="1"/>
  <c r="AW26" i="1" s="1"/>
  <c r="AV272" i="1"/>
  <c r="AW272" i="1" s="1"/>
  <c r="AV266" i="1"/>
  <c r="AV114" i="1"/>
  <c r="AV150" i="1"/>
  <c r="AW150" i="1" s="1"/>
  <c r="AV332" i="1"/>
  <c r="AV322" i="1"/>
  <c r="AV133" i="1"/>
  <c r="AW133" i="1" s="1"/>
  <c r="AV317" i="1"/>
  <c r="AV79" i="1"/>
  <c r="AV253" i="1"/>
  <c r="AW253" i="1" s="1"/>
  <c r="AV113" i="1"/>
  <c r="AV104" i="1"/>
  <c r="AV33" i="1"/>
  <c r="AW33" i="1" s="1"/>
  <c r="AV389" i="1"/>
  <c r="AV297" i="1"/>
  <c r="AW297" i="1" s="1"/>
  <c r="AV233" i="1"/>
  <c r="AW233" i="1" s="1"/>
  <c r="AV182" i="1"/>
  <c r="AW182" i="1" s="1"/>
  <c r="AV19" i="1"/>
  <c r="AV128" i="1"/>
  <c r="AV346" i="1"/>
  <c r="AW346" i="1" s="1"/>
  <c r="AV265" i="1"/>
  <c r="AW265" i="1" s="1"/>
  <c r="AV247" i="1"/>
  <c r="AW247" i="1" s="1"/>
  <c r="AV116" i="1"/>
  <c r="AW116" i="1" s="1"/>
  <c r="AV32" i="1"/>
  <c r="AW32" i="1" s="1"/>
  <c r="AV119" i="1"/>
  <c r="AV173" i="1"/>
  <c r="AW173" i="1" s="1"/>
  <c r="AV392" i="1"/>
  <c r="AV368" i="1"/>
  <c r="AW368" i="1" s="1"/>
  <c r="AV105" i="1"/>
  <c r="AV41" i="1"/>
  <c r="AW41" i="1" s="1"/>
  <c r="AV21" i="1"/>
  <c r="AV350" i="1"/>
  <c r="AV138" i="1"/>
  <c r="AW138" i="1" s="1"/>
  <c r="AV371" i="1"/>
  <c r="AV258" i="1"/>
  <c r="AW258" i="1" s="1"/>
  <c r="AV180" i="1"/>
  <c r="AW180" i="1" s="1"/>
  <c r="AV251" i="1"/>
  <c r="AW251" i="1" s="1"/>
  <c r="AV87" i="1"/>
  <c r="AV390" i="1"/>
  <c r="AV361" i="1"/>
  <c r="AW361" i="1" s="1"/>
  <c r="AV187" i="1"/>
  <c r="AW187" i="1" s="1"/>
  <c r="AV183" i="1"/>
  <c r="AW183" i="1" s="1"/>
  <c r="AV340" i="1"/>
  <c r="AV295" i="1"/>
  <c r="AW295" i="1" s="1"/>
  <c r="AV153" i="1"/>
  <c r="AW153" i="1" s="1"/>
  <c r="AV151" i="1"/>
  <c r="AW151" i="1" s="1"/>
  <c r="AV352" i="1"/>
  <c r="AW352" i="1" s="1"/>
  <c r="AV76" i="1"/>
  <c r="AV52" i="1"/>
  <c r="AW52" i="1" s="1"/>
  <c r="AV291" i="1"/>
  <c r="AW291" i="1" s="1"/>
  <c r="AV270" i="1"/>
  <c r="AW270" i="1" s="1"/>
  <c r="AV59" i="1"/>
  <c r="AV212" i="1"/>
  <c r="AW212" i="1" s="1"/>
  <c r="AV23" i="1"/>
  <c r="AV394" i="1"/>
  <c r="AV176" i="1"/>
  <c r="AW176" i="1" s="1"/>
  <c r="AV55" i="1"/>
  <c r="AV319" i="1"/>
  <c r="AW319" i="1" s="1"/>
  <c r="AV140" i="1"/>
  <c r="AV9" i="1"/>
  <c r="AW9" i="1" s="1"/>
  <c r="AV88" i="1"/>
  <c r="AV349" i="1"/>
  <c r="AV174" i="1"/>
  <c r="AW174" i="1" s="1"/>
  <c r="AV308" i="1"/>
  <c r="AV381" i="1"/>
  <c r="AV195" i="1"/>
  <c r="AW195" i="1" s="1"/>
  <c r="AV362" i="1"/>
  <c r="AV220" i="1"/>
  <c r="AW220" i="1" s="1"/>
  <c r="AV256" i="1"/>
  <c r="AW256" i="1" s="1"/>
  <c r="AV274" i="1"/>
  <c r="AW274" i="1" s="1"/>
  <c r="AV260" i="1"/>
  <c r="AW260" i="1" s="1"/>
  <c r="AV78" i="1"/>
  <c r="AW78" i="1" s="1"/>
  <c r="AV236" i="1"/>
  <c r="AW236" i="1" s="1"/>
  <c r="AV65" i="1"/>
  <c r="AW65" i="1" s="1"/>
  <c r="AV330" i="1"/>
  <c r="AW330" i="1" s="1"/>
  <c r="AV181" i="1"/>
  <c r="AW181" i="1" s="1"/>
  <c r="AV18" i="1"/>
  <c r="AV344" i="1"/>
  <c r="AW344" i="1" s="1"/>
  <c r="AV192" i="1"/>
  <c r="AW192" i="1" s="1"/>
  <c r="AV123" i="1"/>
  <c r="AW123" i="1" s="1"/>
  <c r="AV147" i="1"/>
  <c r="AW147" i="1" s="1"/>
  <c r="AV197" i="1"/>
  <c r="AW197" i="1" s="1"/>
  <c r="AV66" i="1"/>
  <c r="AW66" i="1" s="1"/>
  <c r="AV112" i="1"/>
  <c r="AW112" i="1" s="1"/>
  <c r="AV309" i="1"/>
  <c r="AW309" i="1" s="1"/>
  <c r="AV217" i="1"/>
  <c r="AW217" i="1" s="1"/>
  <c r="AV67" i="1"/>
  <c r="AV380" i="1"/>
  <c r="AV168" i="1"/>
  <c r="AW168" i="1" s="1"/>
  <c r="AV393" i="1"/>
  <c r="AV321" i="1"/>
  <c r="AV131" i="1"/>
  <c r="AW131" i="1" s="1"/>
  <c r="AV358" i="1"/>
  <c r="AW358" i="1" s="1"/>
  <c r="AV255" i="1"/>
  <c r="AW255" i="1" s="1"/>
  <c r="AV170" i="1"/>
  <c r="AW170" i="1" s="1"/>
  <c r="AV161" i="1"/>
  <c r="AW161" i="1" s="1"/>
  <c r="AV254" i="1"/>
  <c r="AW254" i="1" s="1"/>
  <c r="AV49" i="1"/>
  <c r="AV261" i="1"/>
  <c r="AW261" i="1" s="1"/>
  <c r="AV143" i="1"/>
  <c r="AW143" i="1" s="1"/>
  <c r="AV163" i="1"/>
  <c r="AW163" i="1" s="1"/>
  <c r="AV135" i="1"/>
  <c r="AW135" i="1" s="1"/>
  <c r="AV54" i="1"/>
  <c r="AV290" i="1"/>
  <c r="AV117" i="1"/>
  <c r="AV378" i="1"/>
  <c r="AV46" i="1"/>
  <c r="AV328" i="1"/>
  <c r="AW328" i="1" s="1"/>
  <c r="AV383" i="1"/>
  <c r="AV56" i="1"/>
  <c r="AV365" i="1"/>
  <c r="AV388" i="1"/>
  <c r="AV134" i="1"/>
  <c r="AW134" i="1" s="1"/>
  <c r="AV280" i="1"/>
  <c r="AW280" i="1" s="1"/>
  <c r="AV375" i="1"/>
  <c r="AW375" i="1" s="1"/>
  <c r="AV17" i="1"/>
  <c r="AV334" i="1"/>
  <c r="AV231" i="1"/>
  <c r="AV50" i="1"/>
  <c r="AV306" i="1"/>
  <c r="AV213" i="1"/>
  <c r="AW213" i="1" s="1"/>
  <c r="AV315" i="1"/>
  <c r="AW315" i="1" s="1"/>
  <c r="AV304" i="1"/>
  <c r="AV98" i="1"/>
  <c r="AV84" i="1"/>
  <c r="AV102" i="1"/>
  <c r="AW102" i="1" s="1"/>
  <c r="AV342" i="1"/>
  <c r="AW342" i="1" s="1"/>
  <c r="AV106" i="1"/>
  <c r="AV109" i="1"/>
  <c r="AV110" i="1"/>
  <c r="AW110" i="1" s="1"/>
  <c r="AV64" i="1"/>
  <c r="AW64" i="1" s="1"/>
  <c r="AV122" i="1"/>
  <c r="AV240" i="1"/>
  <c r="AW240" i="1" s="1"/>
  <c r="AV155" i="1"/>
  <c r="AW155" i="1" s="1"/>
  <c r="AV366" i="1"/>
  <c r="AV8" i="1"/>
  <c r="AW8" i="1" s="1"/>
  <c r="AV249" i="1"/>
  <c r="AW249" i="1" s="1"/>
  <c r="AV385" i="1"/>
  <c r="AV287" i="1"/>
  <c r="AW287" i="1" s="1"/>
  <c r="AV396" i="1"/>
  <c r="AV208" i="1"/>
  <c r="AW208" i="1" s="1"/>
  <c r="AV185" i="1"/>
  <c r="AW185" i="1" s="1"/>
  <c r="AV230" i="1"/>
  <c r="AW230" i="1" s="1"/>
  <c r="AV62" i="1"/>
  <c r="AW62" i="1" s="1"/>
  <c r="AV40" i="1"/>
  <c r="AW40" i="1" s="1"/>
  <c r="AV16" i="1"/>
  <c r="AW16" i="1" s="1"/>
  <c r="AV376" i="1"/>
  <c r="AV91" i="1"/>
  <c r="AV89" i="1"/>
  <c r="AW89" i="1" s="1"/>
  <c r="AV310" i="1"/>
  <c r="AW310" i="1" s="1"/>
  <c r="AV228" i="1"/>
  <c r="AW228" i="1" s="1"/>
  <c r="AV164" i="1"/>
  <c r="AW164" i="1" s="1"/>
  <c r="AV73" i="1"/>
  <c r="AW73" i="1" s="1"/>
  <c r="AV207" i="1"/>
  <c r="AW207" i="1" s="1"/>
  <c r="AV31" i="1"/>
  <c r="AV60" i="1"/>
  <c r="AV69" i="1"/>
  <c r="AW69" i="1" s="1"/>
  <c r="AV250" i="1"/>
  <c r="AW250" i="1" s="1"/>
  <c r="AV92" i="1"/>
  <c r="AV329" i="1"/>
  <c r="AW329" i="1" s="1"/>
  <c r="AV273" i="1"/>
  <c r="AV145" i="1"/>
  <c r="AW145" i="1" s="1"/>
  <c r="AV165" i="1"/>
  <c r="AW165" i="1" s="1"/>
  <c r="AV45" i="1"/>
  <c r="AW45" i="1" s="1"/>
  <c r="AV222" i="1"/>
  <c r="AW222" i="1" s="1"/>
  <c r="AV245" i="1"/>
  <c r="AW245" i="1" s="1"/>
  <c r="AV193" i="1"/>
  <c r="AW193" i="1" s="1"/>
  <c r="AV125" i="1"/>
  <c r="AV30" i="1"/>
  <c r="AV34" i="1"/>
  <c r="AV370" i="1"/>
  <c r="AW370" i="1" s="1"/>
  <c r="AV264" i="1"/>
  <c r="AW264" i="1" s="1"/>
  <c r="AV136" i="1"/>
  <c r="AW136" i="1" s="1"/>
  <c r="AV68" i="1"/>
  <c r="AV39" i="1"/>
  <c r="AW39" i="1" s="1"/>
  <c r="AV269" i="1"/>
  <c r="AW269" i="1" s="1"/>
  <c r="AV353" i="1"/>
  <c r="AV391" i="1"/>
  <c r="AV323" i="1"/>
  <c r="AW323" i="1" s="1"/>
  <c r="AV275" i="1"/>
  <c r="AW275" i="1" s="1"/>
  <c r="AV100" i="1"/>
  <c r="AV300" i="1"/>
  <c r="AV37" i="1"/>
  <c r="AV13" i="1"/>
  <c r="AW13" i="1" s="1"/>
  <c r="AV354" i="1"/>
  <c r="AW354" i="1" s="1"/>
  <c r="AV373" i="1"/>
  <c r="AW373" i="1" s="1"/>
  <c r="AV314" i="1"/>
  <c r="AV224" i="1"/>
  <c r="AW224" i="1" s="1"/>
  <c r="AV356" i="1"/>
  <c r="AW356" i="1" s="1"/>
  <c r="AV351" i="1"/>
  <c r="AW351" i="1" s="1"/>
  <c r="AV215" i="1"/>
  <c r="AW215" i="1" s="1"/>
  <c r="AV347" i="1"/>
  <c r="AV107" i="1"/>
  <c r="AW107" i="1" s="1"/>
  <c r="AV97" i="1"/>
  <c r="O405" i="1"/>
  <c r="AV157" i="1"/>
  <c r="AW157" i="1" s="1"/>
  <c r="AV246" i="1"/>
  <c r="AW246" i="1" s="1"/>
  <c r="AV118" i="1"/>
  <c r="AV219" i="1"/>
  <c r="AW219" i="1" s="1"/>
  <c r="AV194" i="1"/>
  <c r="AW194" i="1" s="1"/>
  <c r="AV162" i="1"/>
  <c r="AW162" i="1" s="1"/>
  <c r="AV235" i="1"/>
  <c r="AW235" i="1" s="1"/>
  <c r="AV53" i="1"/>
  <c r="AV339" i="1"/>
  <c r="AV141" i="1"/>
  <c r="AV99" i="1"/>
  <c r="AV285" i="1"/>
  <c r="AV348" i="1"/>
  <c r="AV242" i="1"/>
  <c r="AW242" i="1" s="1"/>
  <c r="AV90" i="1"/>
  <c r="AV229" i="1"/>
  <c r="AW229" i="1" s="1"/>
  <c r="AV152" i="1"/>
  <c r="AW152" i="1" s="1"/>
  <c r="AV83" i="1"/>
  <c r="AW83" i="1" s="1"/>
  <c r="AV214" i="1"/>
  <c r="AW214" i="1" s="1"/>
  <c r="BJ268" i="1"/>
  <c r="BK268" i="1" s="1"/>
  <c r="BJ387" i="1"/>
  <c r="AV271" i="1"/>
  <c r="AW271" i="1" s="1"/>
  <c r="BE404" i="1"/>
  <c r="BE320" i="1"/>
  <c r="BE350" i="1"/>
  <c r="BF350" i="1" s="1"/>
  <c r="BE341" i="1"/>
  <c r="BF341" i="1" s="1"/>
  <c r="BE333" i="1"/>
  <c r="BF333" i="1" s="1"/>
  <c r="BE241" i="1"/>
  <c r="BE264" i="1"/>
  <c r="BE288" i="1"/>
  <c r="BF288" i="1" s="1"/>
  <c r="BE284" i="1"/>
  <c r="BF284" i="1" s="1"/>
  <c r="BE274" i="1"/>
  <c r="BE307" i="1"/>
  <c r="BF307" i="1" s="1"/>
  <c r="BE224" i="1"/>
  <c r="BE188" i="1"/>
  <c r="BE200" i="1"/>
  <c r="BE187" i="1"/>
  <c r="BE109" i="1"/>
  <c r="BF109" i="1" s="1"/>
  <c r="BE23" i="1"/>
  <c r="BF23" i="1" s="1"/>
  <c r="BE60" i="1"/>
  <c r="BF60" i="1" s="1"/>
  <c r="BE124" i="1"/>
  <c r="BF124" i="1" s="1"/>
  <c r="BE49" i="1"/>
  <c r="BF49" i="1" s="1"/>
  <c r="BE332" i="1"/>
  <c r="BF332" i="1" s="1"/>
  <c r="BE365" i="1"/>
  <c r="BF365" i="1" s="1"/>
  <c r="BE12" i="1"/>
  <c r="BF12" i="1" s="1"/>
  <c r="BE128" i="1"/>
  <c r="BF128" i="1" s="1"/>
  <c r="BE95" i="1"/>
  <c r="BF95" i="1" s="1"/>
  <c r="BE100" i="1"/>
  <c r="BF100" i="1" s="1"/>
  <c r="BE105" i="1"/>
  <c r="BF105" i="1" s="1"/>
  <c r="BE8" i="1"/>
  <c r="BE400" i="1" s="1"/>
  <c r="BE129" i="1"/>
  <c r="BE317" i="1"/>
  <c r="BF317" i="1" s="1"/>
  <c r="BE304" i="1"/>
  <c r="BF304" i="1" s="1"/>
  <c r="BE99" i="1"/>
  <c r="BF99" i="1" s="1"/>
  <c r="BE9" i="1"/>
  <c r="BE197" i="1"/>
  <c r="BE262" i="1"/>
  <c r="BF262" i="1" s="1"/>
  <c r="BE367" i="1"/>
  <c r="BE167" i="1"/>
  <c r="BE299" i="1"/>
  <c r="BF299" i="1" s="1"/>
  <c r="BE345" i="1"/>
  <c r="BE36" i="1"/>
  <c r="BF36" i="1" s="1"/>
  <c r="BE73" i="1"/>
  <c r="BE208" i="1"/>
  <c r="BE301" i="1"/>
  <c r="BE321" i="1"/>
  <c r="BF321" i="1" s="1"/>
  <c r="BE47" i="1"/>
  <c r="BF47" i="1" s="1"/>
  <c r="BE169" i="1"/>
  <c r="BE140" i="1"/>
  <c r="BF140" i="1" s="1"/>
  <c r="BE72" i="1"/>
  <c r="BE229" i="1"/>
  <c r="BE286" i="1"/>
  <c r="BF286" i="1" s="1"/>
  <c r="BE272" i="1"/>
  <c r="BE392" i="1"/>
  <c r="BE98" i="1"/>
  <c r="BF98" i="1" s="1"/>
  <c r="BE110" i="1"/>
  <c r="BE355" i="1"/>
  <c r="BE246" i="1"/>
  <c r="BE108" i="1"/>
  <c r="BF108" i="1" s="1"/>
  <c r="BE90" i="1"/>
  <c r="BF90" i="1" s="1"/>
  <c r="BE122" i="1"/>
  <c r="BF122" i="1" s="1"/>
  <c r="BE19" i="1"/>
  <c r="BF19" i="1" s="1"/>
  <c r="BE138" i="1"/>
  <c r="BE248" i="1"/>
  <c r="BE258" i="1"/>
  <c r="BE280" i="1"/>
  <c r="BE94" i="1"/>
  <c r="BF94" i="1" s="1"/>
  <c r="BE294" i="1"/>
  <c r="BE360" i="1"/>
  <c r="BE133" i="1"/>
  <c r="BE86" i="1"/>
  <c r="BF86" i="1" s="1"/>
  <c r="BE211" i="1"/>
  <c r="BE259" i="1"/>
  <c r="BE298" i="1"/>
  <c r="BF298" i="1" s="1"/>
  <c r="BE55" i="1"/>
  <c r="BF55" i="1" s="1"/>
  <c r="BE315" i="1"/>
  <c r="BE147" i="1"/>
  <c r="BE394" i="1"/>
  <c r="BE295" i="1"/>
  <c r="BE372" i="1"/>
  <c r="BF372" i="1" s="1"/>
  <c r="BE325" i="1"/>
  <c r="BE175" i="1"/>
  <c r="BE380" i="1"/>
  <c r="BE389" i="1"/>
  <c r="BE373" i="1"/>
  <c r="BE20" i="1"/>
  <c r="BF20" i="1" s="1"/>
  <c r="BE303" i="1"/>
  <c r="BE104" i="1"/>
  <c r="BF104" i="1" s="1"/>
  <c r="BE328" i="1"/>
  <c r="BE263" i="1"/>
  <c r="BF263" i="1" s="1"/>
  <c r="BE236" i="1"/>
  <c r="BE46" i="1"/>
  <c r="BF46" i="1" s="1"/>
  <c r="BE309" i="1"/>
  <c r="BE207" i="1"/>
  <c r="BE391" i="1"/>
  <c r="BE165" i="1"/>
  <c r="BE393" i="1"/>
  <c r="BF393" i="1" s="1"/>
  <c r="BE155" i="1"/>
  <c r="BE220" i="1"/>
  <c r="BE311" i="1"/>
  <c r="BF311" i="1" s="1"/>
  <c r="BE120" i="1"/>
  <c r="BE74" i="1"/>
  <c r="BE87" i="1"/>
  <c r="BF87" i="1" s="1"/>
  <c r="BE347" i="1"/>
  <c r="BF347" i="1" s="1"/>
  <c r="BE213" i="1"/>
  <c r="BE134" i="1"/>
  <c r="BE194" i="1"/>
  <c r="BE145" i="1"/>
  <c r="BE385" i="1"/>
  <c r="BE252" i="1"/>
  <c r="BE115" i="1"/>
  <c r="BE114" i="1"/>
  <c r="BF114" i="1" s="1"/>
  <c r="BE279" i="1"/>
  <c r="BE27" i="1"/>
  <c r="BF27" i="1" s="1"/>
  <c r="BE10" i="1"/>
  <c r="BF10" i="1" s="1"/>
  <c r="BE48" i="1"/>
  <c r="BF48" i="1" s="1"/>
  <c r="BE30" i="1"/>
  <c r="BF30" i="1" s="1"/>
  <c r="BE290" i="1"/>
  <c r="BF290" i="1" s="1"/>
  <c r="BE227" i="1"/>
  <c r="BE70" i="1"/>
  <c r="BE67" i="1"/>
  <c r="BF67" i="1" s="1"/>
  <c r="BE285" i="1"/>
  <c r="BF285" i="1" s="1"/>
  <c r="BE38" i="1"/>
  <c r="BE371" i="1"/>
  <c r="BF371" i="1" s="1"/>
  <c r="BE117" i="1"/>
  <c r="BF117" i="1" s="1"/>
  <c r="BE196" i="1"/>
  <c r="BE92" i="1"/>
  <c r="BF92" i="1" s="1"/>
  <c r="BE382" i="1"/>
  <c r="BE125" i="1"/>
  <c r="BF125" i="1" s="1"/>
  <c r="BE141" i="1"/>
  <c r="BF141" i="1" s="1"/>
  <c r="BE267" i="1"/>
  <c r="BE64" i="1"/>
  <c r="BE305" i="1"/>
  <c r="BE195" i="1"/>
  <c r="BE118" i="1"/>
  <c r="BF118" i="1" s="1"/>
  <c r="BE356" i="1"/>
  <c r="BE97" i="1"/>
  <c r="BF97" i="1" s="1"/>
  <c r="BE25" i="1"/>
  <c r="BF25" i="1" s="1"/>
  <c r="BE359" i="1"/>
  <c r="BE244" i="1"/>
  <c r="BE17" i="1"/>
  <c r="BF17" i="1" s="1"/>
  <c r="BE52" i="1"/>
  <c r="BE84" i="1"/>
  <c r="BF84" i="1" s="1"/>
  <c r="BE352" i="1"/>
  <c r="BE334" i="1"/>
  <c r="BF334" i="1" s="1"/>
  <c r="BE219" i="1"/>
  <c r="BE153" i="1"/>
  <c r="BE342" i="1"/>
  <c r="BE232" i="1"/>
  <c r="BE132" i="1"/>
  <c r="BE130" i="1"/>
  <c r="BE366" i="1"/>
  <c r="BF366" i="1" s="1"/>
  <c r="BE230" i="1"/>
  <c r="BE164" i="1"/>
  <c r="BE106" i="1"/>
  <c r="BF106" i="1" s="1"/>
  <c r="BE319" i="1"/>
  <c r="BE343" i="1"/>
  <c r="BE131" i="1"/>
  <c r="BE362" i="1"/>
  <c r="BF362" i="1" s="1"/>
  <c r="BE212" i="1"/>
  <c r="BE278" i="1"/>
  <c r="BF278" i="1" s="1"/>
  <c r="BE159" i="1"/>
  <c r="BE235" i="1"/>
  <c r="BE318" i="1"/>
  <c r="BE383" i="1"/>
  <c r="BE217" i="1"/>
  <c r="BE390" i="1"/>
  <c r="BE65" i="1"/>
  <c r="BE15" i="1"/>
  <c r="BE183" i="1"/>
  <c r="BE240" i="1"/>
  <c r="BE143" i="1"/>
  <c r="BE287" i="1"/>
  <c r="BE233" i="1"/>
  <c r="BE260" i="1"/>
  <c r="BE22" i="1"/>
  <c r="BE112" i="1"/>
  <c r="BE166" i="1"/>
  <c r="BE265" i="1"/>
  <c r="BE191" i="1"/>
  <c r="BE103" i="1"/>
  <c r="BF103" i="1" s="1"/>
  <c r="BE91" i="1"/>
  <c r="BF91" i="1" s="1"/>
  <c r="BE56" i="1"/>
  <c r="BF56" i="1" s="1"/>
  <c r="BE218" i="1"/>
  <c r="BE351" i="1"/>
  <c r="BE349" i="1"/>
  <c r="BF349" i="1" s="1"/>
  <c r="BE374" i="1"/>
  <c r="BE330" i="1"/>
  <c r="BE204" i="1"/>
  <c r="BF204" i="1" s="1"/>
  <c r="BE277" i="1"/>
  <c r="BF277" i="1" s="1"/>
  <c r="BE369" i="1"/>
  <c r="BF369" i="1" s="1"/>
  <c r="BE302" i="1"/>
  <c r="BE41" i="1"/>
  <c r="BE327" i="1"/>
  <c r="BF327" i="1" s="1"/>
  <c r="BE192" i="1"/>
  <c r="BE336" i="1"/>
  <c r="BF336" i="1" s="1"/>
  <c r="BE199" i="1"/>
  <c r="BE11" i="1"/>
  <c r="BF11" i="1" s="1"/>
  <c r="BE337" i="1"/>
  <c r="BF337" i="1" s="1"/>
  <c r="BE76" i="1"/>
  <c r="BF76" i="1" s="1"/>
  <c r="BE161" i="1"/>
  <c r="BE368" i="1"/>
  <c r="BE171" i="1"/>
  <c r="BE216" i="1"/>
  <c r="BE381" i="1"/>
  <c r="BF381" i="1" s="1"/>
  <c r="BE326" i="1"/>
  <c r="BE242" i="1"/>
  <c r="BE222" i="1"/>
  <c r="BE156" i="1"/>
  <c r="BE21" i="1"/>
  <c r="BF21" i="1" s="1"/>
  <c r="BE168" i="1"/>
  <c r="BE44" i="1"/>
  <c r="BF44" i="1" s="1"/>
  <c r="BE136" i="1"/>
  <c r="BE26" i="1"/>
  <c r="BE396" i="1"/>
  <c r="BE96" i="1"/>
  <c r="BF96" i="1" s="1"/>
  <c r="BE324" i="1"/>
  <c r="BE251" i="1"/>
  <c r="BE346" i="1"/>
  <c r="BE256" i="1"/>
  <c r="BE231" i="1"/>
  <c r="BF231" i="1" s="1"/>
  <c r="BE28" i="1"/>
  <c r="BF28" i="1" s="1"/>
  <c r="BE173" i="1"/>
  <c r="BE176" i="1"/>
  <c r="BE357" i="1"/>
  <c r="BE316" i="1"/>
  <c r="BF316" i="1" s="1"/>
  <c r="BE306" i="1"/>
  <c r="BF306" i="1" s="1"/>
  <c r="BE33" i="1"/>
  <c r="BE289" i="1"/>
  <c r="BF289" i="1" s="1"/>
  <c r="BE116" i="1"/>
  <c r="BE32" i="1"/>
  <c r="BE331" i="1"/>
  <c r="BE340" i="1"/>
  <c r="BF340" i="1" s="1"/>
  <c r="BE209" i="1"/>
  <c r="BE83" i="1"/>
  <c r="BE58" i="1"/>
  <c r="BF58" i="1" s="1"/>
  <c r="BE45" i="1"/>
  <c r="BE16" i="1"/>
  <c r="BE154" i="1"/>
  <c r="BE226" i="1"/>
  <c r="BE179" i="1"/>
  <c r="BF179" i="1" s="1"/>
  <c r="BE170" i="1"/>
  <c r="BE186" i="1"/>
  <c r="BE89" i="1"/>
  <c r="BE102" i="1"/>
  <c r="BE184" i="1"/>
  <c r="BE364" i="1"/>
  <c r="BE174" i="1"/>
  <c r="BE296" i="1"/>
  <c r="BF296" i="1" s="1"/>
  <c r="BE160" i="1"/>
  <c r="BE75" i="1"/>
  <c r="BF75" i="1" s="1"/>
  <c r="BE158" i="1"/>
  <c r="BE37" i="1"/>
  <c r="BF37" i="1" s="1"/>
  <c r="BE291" i="1"/>
  <c r="BE63" i="1"/>
  <c r="BF63" i="1" s="1"/>
  <c r="BE297" i="1"/>
  <c r="BE338" i="1"/>
  <c r="BF338" i="1" s="1"/>
  <c r="BE329" i="1"/>
  <c r="BE50" i="1"/>
  <c r="BF50" i="1" s="1"/>
  <c r="BE270" i="1"/>
  <c r="BE172" i="1"/>
  <c r="BE31" i="1"/>
  <c r="BF31" i="1" s="1"/>
  <c r="BE189" i="1"/>
  <c r="BE283" i="1"/>
  <c r="BF283" i="1" s="1"/>
  <c r="BE308" i="1"/>
  <c r="BF308" i="1" s="1"/>
  <c r="BE210" i="1"/>
  <c r="BE313" i="1"/>
  <c r="BE62" i="1"/>
  <c r="BE43" i="1"/>
  <c r="BF43" i="1" s="1"/>
  <c r="BE202" i="1"/>
  <c r="BE111" i="1"/>
  <c r="BE314" i="1"/>
  <c r="BE312" i="1"/>
  <c r="BE18" i="1"/>
  <c r="BF18" i="1" s="1"/>
  <c r="BE234" i="1"/>
  <c r="BE292" i="1"/>
  <c r="BF292" i="1" s="1"/>
  <c r="BE344" i="1"/>
  <c r="BE79" i="1"/>
  <c r="BF79" i="1" s="1"/>
  <c r="BE353" i="1"/>
  <c r="BF353" i="1" s="1"/>
  <c r="BE363" i="1"/>
  <c r="BF363" i="1" s="1"/>
  <c r="BE123" i="1"/>
  <c r="BE245" i="1"/>
  <c r="BE68" i="1"/>
  <c r="BF68" i="1" s="1"/>
  <c r="BE119" i="1"/>
  <c r="BF119" i="1" s="1"/>
  <c r="BE261" i="1"/>
  <c r="BE126" i="1"/>
  <c r="BE223" i="1"/>
  <c r="BE39" i="1"/>
  <c r="BE348" i="1"/>
  <c r="BF348" i="1" s="1"/>
  <c r="BE139" i="1"/>
  <c r="BE323" i="1"/>
  <c r="BE178" i="1"/>
  <c r="BE238" i="1"/>
  <c r="BE42" i="1"/>
  <c r="BE250" i="1"/>
  <c r="BE113" i="1"/>
  <c r="BF113" i="1" s="1"/>
  <c r="BE135" i="1"/>
  <c r="BE181" i="1"/>
  <c r="BE247" i="1"/>
  <c r="BE53" i="1"/>
  <c r="BF53" i="1" s="1"/>
  <c r="BE193" i="1"/>
  <c r="BE273" i="1"/>
  <c r="BF273" i="1" s="1"/>
  <c r="BE14" i="1"/>
  <c r="BF14" i="1" s="1"/>
  <c r="BE322" i="1"/>
  <c r="BF322" i="1" s="1"/>
  <c r="BE85" i="1"/>
  <c r="BF85" i="1" s="1"/>
  <c r="BE378" i="1"/>
  <c r="BE266" i="1"/>
  <c r="BE384" i="1"/>
  <c r="BE269" i="1"/>
  <c r="BE377" i="1"/>
  <c r="BE69" i="1"/>
  <c r="BE107" i="1"/>
  <c r="BE71" i="1"/>
  <c r="BF71" i="1" s="1"/>
  <c r="BE35" i="1"/>
  <c r="BF35" i="1" s="1"/>
  <c r="BE215" i="1"/>
  <c r="BE29" i="1"/>
  <c r="BE276" i="1"/>
  <c r="BE239" i="1"/>
  <c r="BE146" i="1"/>
  <c r="BE82" i="1"/>
  <c r="BF82" i="1" s="1"/>
  <c r="BE77" i="1"/>
  <c r="BF77" i="1" s="1"/>
  <c r="BE254" i="1"/>
  <c r="BE271" i="1"/>
  <c r="BE339" i="1"/>
  <c r="BF339" i="1" s="1"/>
  <c r="BE59" i="1"/>
  <c r="BF59" i="1" s="1"/>
  <c r="BE88" i="1"/>
  <c r="BF88" i="1" s="1"/>
  <c r="BE190" i="1"/>
  <c r="BE24" i="1"/>
  <c r="BF24" i="1" s="1"/>
  <c r="BE61" i="1"/>
  <c r="BE57" i="1"/>
  <c r="BF57" i="1" s="1"/>
  <c r="BE148" i="1"/>
  <c r="BE81" i="1"/>
  <c r="BF81" i="1" s="1"/>
  <c r="BE162" i="1"/>
  <c r="BE370" i="1"/>
  <c r="BE281" i="1"/>
  <c r="BF281" i="1" s="1"/>
  <c r="BE78" i="1"/>
  <c r="BE142" i="1"/>
  <c r="BE358" i="1"/>
  <c r="BE34" i="1"/>
  <c r="BF34" i="1" s="1"/>
  <c r="BE275" i="1"/>
  <c r="BE228" i="1"/>
  <c r="BE221" i="1"/>
  <c r="BE144" i="1"/>
  <c r="BE282" i="1"/>
  <c r="BF282" i="1" s="1"/>
  <c r="BE101" i="1"/>
  <c r="BF101" i="1" s="1"/>
  <c r="BE201" i="1"/>
  <c r="BE51" i="1"/>
  <c r="BJ259" i="1"/>
  <c r="BK259" i="1" s="1"/>
  <c r="BJ375" i="1"/>
  <c r="BK375" i="1" s="1"/>
  <c r="AV148" i="1"/>
  <c r="AW148" i="1" s="1"/>
  <c r="BJ169" i="1"/>
  <c r="BK169" i="1" s="1"/>
  <c r="BE375" i="1"/>
  <c r="AV331" i="1"/>
  <c r="AW331" i="1" s="1"/>
  <c r="AV211" i="1"/>
  <c r="AW211" i="1" s="1"/>
  <c r="BJ171" i="1"/>
  <c r="BK171" i="1" s="1"/>
  <c r="AV296" i="1"/>
  <c r="BE54" i="1"/>
  <c r="BF54" i="1" s="1"/>
  <c r="Q405" i="1"/>
  <c r="BE249" i="1"/>
  <c r="BJ108" i="1"/>
  <c r="BK108" i="1" s="1"/>
  <c r="BK7" i="1" l="1"/>
  <c r="BJ188" i="1"/>
  <c r="BK188" i="1" s="1"/>
  <c r="BJ200" i="1"/>
  <c r="BK200" i="1" s="1"/>
  <c r="BJ284" i="1"/>
  <c r="BK284" i="1" s="1"/>
  <c r="BJ288" i="1"/>
  <c r="BK288" i="1" s="1"/>
  <c r="BJ372" i="1"/>
  <c r="BK372" i="1" s="1"/>
  <c r="BJ377" i="1"/>
  <c r="BK377" i="1" s="1"/>
  <c r="BJ312" i="1"/>
  <c r="BK312" i="1" s="1"/>
  <c r="BJ43" i="1"/>
  <c r="BK43" i="1" s="1"/>
  <c r="BJ313" i="1"/>
  <c r="BK313" i="1" s="1"/>
  <c r="BJ283" i="1"/>
  <c r="BK283" i="1" s="1"/>
  <c r="BJ82" i="1"/>
  <c r="BK82" i="1" s="1"/>
  <c r="BJ263" i="1"/>
  <c r="BK263" i="1" s="1"/>
  <c r="BJ178" i="1"/>
  <c r="BK178" i="1" s="1"/>
  <c r="BJ57" i="1"/>
  <c r="BK57" i="1" s="1"/>
  <c r="BJ94" i="1"/>
  <c r="BK94" i="1" s="1"/>
  <c r="BJ279" i="1"/>
  <c r="BK279" i="1" s="1"/>
  <c r="BJ22" i="1"/>
  <c r="BK22" i="1" s="1"/>
  <c r="BJ239" i="1"/>
  <c r="BK239" i="1" s="1"/>
  <c r="BJ299" i="1"/>
  <c r="BK299" i="1" s="1"/>
  <c r="BJ95" i="1"/>
  <c r="BK95" i="1" s="1"/>
  <c r="BJ336" i="1"/>
  <c r="BK336" i="1" s="1"/>
  <c r="BJ61" i="1"/>
  <c r="BK61" i="1" s="1"/>
  <c r="BJ190" i="1"/>
  <c r="BK190" i="1" s="1"/>
  <c r="BJ115" i="1"/>
  <c r="BK115" i="1" s="1"/>
  <c r="BJ201" i="1"/>
  <c r="BK201" i="1" s="1"/>
  <c r="BJ367" i="1"/>
  <c r="BJ129" i="1"/>
  <c r="BK129" i="1" s="1"/>
  <c r="BJ303" i="1"/>
  <c r="BJ301" i="1"/>
  <c r="BJ24" i="1"/>
  <c r="BK24" i="1" s="1"/>
  <c r="BJ72" i="1"/>
  <c r="BK72" i="1" s="1"/>
  <c r="BJ186" i="1"/>
  <c r="BK186" i="1" s="1"/>
  <c r="BJ42" i="1"/>
  <c r="BK42" i="1" s="1"/>
  <c r="BJ10" i="1"/>
  <c r="BK10" i="1" s="1"/>
  <c r="BJ48" i="1"/>
  <c r="BK48" i="1" s="1"/>
  <c r="BJ36" i="1"/>
  <c r="BK36" i="1" s="1"/>
  <c r="BJ262" i="1"/>
  <c r="BK262" i="1" s="1"/>
  <c r="BJ227" i="1"/>
  <c r="BK227" i="1" s="1"/>
  <c r="BJ47" i="1"/>
  <c r="BK47" i="1" s="1"/>
  <c r="BJ341" i="1"/>
  <c r="BK341" i="1" s="1"/>
  <c r="BJ146" i="1"/>
  <c r="BK146" i="1" s="1"/>
  <c r="BJ360" i="1"/>
  <c r="BK360" i="1" s="1"/>
  <c r="BJ248" i="1"/>
  <c r="BK248" i="1" s="1"/>
  <c r="BJ175" i="1"/>
  <c r="BK175" i="1" s="1"/>
  <c r="BJ152" i="1"/>
  <c r="BK152" i="1" s="1"/>
  <c r="BJ30" i="1"/>
  <c r="BK30" i="1" s="1"/>
  <c r="BJ180" i="1"/>
  <c r="BK180" i="1" s="1"/>
  <c r="BJ172" i="1"/>
  <c r="BK172" i="1" s="1"/>
  <c r="BJ354" i="1"/>
  <c r="BK354" i="1" s="1"/>
  <c r="BJ340" i="1"/>
  <c r="BK340" i="1" s="1"/>
  <c r="BJ87" i="1"/>
  <c r="BK87" i="1" s="1"/>
  <c r="BJ147" i="1"/>
  <c r="BK147" i="1" s="1"/>
  <c r="BJ277" i="1"/>
  <c r="BK277" i="1" s="1"/>
  <c r="BJ113" i="1"/>
  <c r="BK113" i="1" s="1"/>
  <c r="BJ215" i="1"/>
  <c r="BK215" i="1" s="1"/>
  <c r="BJ31" i="1"/>
  <c r="BK31" i="1" s="1"/>
  <c r="BJ58" i="1"/>
  <c r="BK58" i="1" s="1"/>
  <c r="BJ81" i="1"/>
  <c r="BK81" i="1" s="1"/>
  <c r="BJ150" i="1"/>
  <c r="BK150" i="1" s="1"/>
  <c r="BJ235" i="1"/>
  <c r="BK235" i="1" s="1"/>
  <c r="BJ88" i="1"/>
  <c r="BK88" i="1" s="1"/>
  <c r="BJ193" i="1"/>
  <c r="BK193" i="1" s="1"/>
  <c r="BJ136" i="1"/>
  <c r="BK136" i="1" s="1"/>
  <c r="BJ13" i="1"/>
  <c r="BK13" i="1" s="1"/>
  <c r="BJ195" i="1"/>
  <c r="BK195" i="1" s="1"/>
  <c r="BJ18" i="1"/>
  <c r="BK18" i="1" s="1"/>
  <c r="BJ161" i="1"/>
  <c r="BK161" i="1" s="1"/>
  <c r="BJ208" i="1"/>
  <c r="BK208" i="1" s="1"/>
  <c r="BJ309" i="1"/>
  <c r="BK309" i="1" s="1"/>
  <c r="BJ9" i="1"/>
  <c r="BK9" i="1" s="1"/>
  <c r="BJ347" i="1"/>
  <c r="BK347" i="1" s="1"/>
  <c r="BJ258" i="1"/>
  <c r="BK258" i="1" s="1"/>
  <c r="BJ388" i="1"/>
  <c r="BJ64" i="1"/>
  <c r="BK64" i="1" s="1"/>
  <c r="BJ327" i="1"/>
  <c r="BK327" i="1" s="1"/>
  <c r="BJ40" i="1"/>
  <c r="BK40" i="1" s="1"/>
  <c r="BJ396" i="1"/>
  <c r="BJ17" i="1"/>
  <c r="BK17" i="1" s="1"/>
  <c r="BJ260" i="1"/>
  <c r="BK260" i="1" s="1"/>
  <c r="BJ21" i="1"/>
  <c r="BK21" i="1" s="1"/>
  <c r="BJ316" i="1"/>
  <c r="BK316" i="1" s="1"/>
  <c r="BJ78" i="1"/>
  <c r="BK78" i="1" s="1"/>
  <c r="BJ123" i="1"/>
  <c r="BK123" i="1" s="1"/>
  <c r="BJ131" i="1"/>
  <c r="BK131" i="1" s="1"/>
  <c r="BJ101" i="1"/>
  <c r="BK101" i="1" s="1"/>
  <c r="BJ392" i="1"/>
  <c r="BJ41" i="1"/>
  <c r="BK41" i="1" s="1"/>
  <c r="BJ285" i="1"/>
  <c r="BK285" i="1" s="1"/>
  <c r="BJ126" i="1"/>
  <c r="BK126" i="1" s="1"/>
  <c r="BJ378" i="1"/>
  <c r="BJ274" i="1"/>
  <c r="BK274" i="1" s="1"/>
  <c r="BJ60" i="1"/>
  <c r="BK60" i="1" s="1"/>
  <c r="BJ37" i="1"/>
  <c r="BK37" i="1" s="1"/>
  <c r="BJ222" i="1"/>
  <c r="BK222" i="1" s="1"/>
  <c r="BJ160" i="1"/>
  <c r="BK160" i="1" s="1"/>
  <c r="BJ192" i="1"/>
  <c r="BK192" i="1" s="1"/>
  <c r="BJ251" i="1"/>
  <c r="BK251" i="1" s="1"/>
  <c r="BJ391" i="1"/>
  <c r="BJ358" i="1"/>
  <c r="BK358" i="1" s="1"/>
  <c r="BJ102" i="1"/>
  <c r="BK102" i="1" s="1"/>
  <c r="BJ140" i="1"/>
  <c r="BK140" i="1" s="1"/>
  <c r="BJ220" i="1"/>
  <c r="BK220" i="1" s="1"/>
  <c r="BJ194" i="1"/>
  <c r="BK194" i="1" s="1"/>
  <c r="BJ70" i="1"/>
  <c r="BK70" i="1" s="1"/>
  <c r="BJ275" i="1"/>
  <c r="BK275" i="1" s="1"/>
  <c r="BJ154" i="1"/>
  <c r="BK154" i="1" s="1"/>
  <c r="BJ39" i="1"/>
  <c r="BK39" i="1" s="1"/>
  <c r="BJ240" i="1"/>
  <c r="BK240" i="1" s="1"/>
  <c r="BJ250" i="1"/>
  <c r="BK250" i="1" s="1"/>
  <c r="BJ25" i="1"/>
  <c r="BK25" i="1" s="1"/>
  <c r="BJ76" i="1"/>
  <c r="BK76" i="1" s="1"/>
  <c r="BJ127" i="1"/>
  <c r="BK127" i="1" s="1"/>
  <c r="BJ117" i="1"/>
  <c r="BK117" i="1" s="1"/>
  <c r="BJ276" i="1"/>
  <c r="BK276" i="1" s="1"/>
  <c r="BJ380" i="1"/>
  <c r="BJ264" i="1"/>
  <c r="BK264" i="1" s="1"/>
  <c r="BJ52" i="1"/>
  <c r="BK52" i="1" s="1"/>
  <c r="BJ49" i="1"/>
  <c r="BK49" i="1" s="1"/>
  <c r="BJ173" i="1"/>
  <c r="BK173" i="1" s="1"/>
  <c r="BJ105" i="1"/>
  <c r="BK105" i="1" s="1"/>
  <c r="BJ191" i="1"/>
  <c r="BK191" i="1" s="1"/>
  <c r="BJ35" i="1"/>
  <c r="BK35" i="1" s="1"/>
  <c r="BJ311" i="1"/>
  <c r="BK311" i="1" s="1"/>
  <c r="BJ51" i="1"/>
  <c r="BK51" i="1" s="1"/>
  <c r="BJ246" i="1"/>
  <c r="BK246" i="1" s="1"/>
  <c r="BJ141" i="1"/>
  <c r="BK141" i="1" s="1"/>
  <c r="BJ144" i="1"/>
  <c r="BK144" i="1" s="1"/>
  <c r="BJ371" i="1"/>
  <c r="BK371" i="1" s="1"/>
  <c r="BJ319" i="1"/>
  <c r="BK319" i="1" s="1"/>
  <c r="BJ351" i="1"/>
  <c r="BK351" i="1" s="1"/>
  <c r="BJ34" i="1"/>
  <c r="BK34" i="1" s="1"/>
  <c r="BJ317" i="1"/>
  <c r="BK317" i="1" s="1"/>
  <c r="BJ55" i="1"/>
  <c r="BK55" i="1" s="1"/>
  <c r="BJ353" i="1"/>
  <c r="BK353" i="1" s="1"/>
  <c r="BJ224" i="1"/>
  <c r="BK224" i="1" s="1"/>
  <c r="BJ323" i="1"/>
  <c r="BK323" i="1" s="1"/>
  <c r="BJ356" i="1"/>
  <c r="BK356" i="1" s="1"/>
  <c r="BJ197" i="1"/>
  <c r="BK197" i="1" s="1"/>
  <c r="BJ89" i="1"/>
  <c r="BK89" i="1" s="1"/>
  <c r="BJ120" i="1"/>
  <c r="BK120" i="1" s="1"/>
  <c r="BJ348" i="1"/>
  <c r="BK348" i="1" s="1"/>
  <c r="BJ176" i="1"/>
  <c r="BK176" i="1" s="1"/>
  <c r="BJ247" i="1"/>
  <c r="BK247" i="1" s="1"/>
  <c r="BJ66" i="1"/>
  <c r="BK66" i="1" s="1"/>
  <c r="BJ16" i="1"/>
  <c r="BK16" i="1" s="1"/>
  <c r="BJ394" i="1"/>
  <c r="BJ20" i="1"/>
  <c r="BK20" i="1" s="1"/>
  <c r="BJ153" i="1"/>
  <c r="BK153" i="1" s="1"/>
  <c r="BJ330" i="1"/>
  <c r="BK330" i="1" s="1"/>
  <c r="BJ73" i="1"/>
  <c r="BK73" i="1" s="1"/>
  <c r="BJ370" i="1"/>
  <c r="BK370" i="1" s="1"/>
  <c r="BJ38" i="1"/>
  <c r="BK38" i="1" s="1"/>
  <c r="BJ269" i="1"/>
  <c r="BK269" i="1" s="1"/>
  <c r="BJ357" i="1"/>
  <c r="BK357" i="1" s="1"/>
  <c r="BJ308" i="1"/>
  <c r="BK308" i="1" s="1"/>
  <c r="BJ56" i="1"/>
  <c r="BK56" i="1" s="1"/>
  <c r="BJ84" i="1"/>
  <c r="BK84" i="1" s="1"/>
  <c r="BJ315" i="1"/>
  <c r="BK315" i="1" s="1"/>
  <c r="BJ290" i="1"/>
  <c r="BK290" i="1" s="1"/>
  <c r="BJ350" i="1"/>
  <c r="BK350" i="1" s="1"/>
  <c r="BJ53" i="1"/>
  <c r="BK53" i="1" s="1"/>
  <c r="BJ362" i="1"/>
  <c r="BK362" i="1" s="1"/>
  <c r="BJ174" i="1"/>
  <c r="BK174" i="1" s="1"/>
  <c r="BJ363" i="1"/>
  <c r="BK363" i="1" s="1"/>
  <c r="BJ74" i="1"/>
  <c r="BK74" i="1" s="1"/>
  <c r="BJ298" i="1"/>
  <c r="BK298" i="1" s="1"/>
  <c r="BJ244" i="1"/>
  <c r="BK244" i="1" s="1"/>
  <c r="BJ302" i="1"/>
  <c r="BK302" i="1" s="1"/>
  <c r="BJ112" i="1"/>
  <c r="BK112" i="1" s="1"/>
  <c r="BJ339" i="1"/>
  <c r="BK339" i="1" s="1"/>
  <c r="BJ119" i="1"/>
  <c r="BK119" i="1" s="1"/>
  <c r="BJ280" i="1"/>
  <c r="BK280" i="1" s="1"/>
  <c r="BJ230" i="1"/>
  <c r="BK230" i="1" s="1"/>
  <c r="BJ65" i="1"/>
  <c r="BK65" i="1" s="1"/>
  <c r="BJ155" i="1"/>
  <c r="BK155" i="1" s="1"/>
  <c r="BJ165" i="1"/>
  <c r="BK165" i="1" s="1"/>
  <c r="BJ125" i="1"/>
  <c r="BK125" i="1" s="1"/>
  <c r="BJ62" i="1"/>
  <c r="BK62" i="1" s="1"/>
  <c r="BJ98" i="1"/>
  <c r="BK98" i="1" s="1"/>
  <c r="BJ226" i="1"/>
  <c r="BK226" i="1" s="1"/>
  <c r="BJ295" i="1"/>
  <c r="BK295" i="1" s="1"/>
  <c r="BJ212" i="1"/>
  <c r="BK212" i="1" s="1"/>
  <c r="BJ292" i="1"/>
  <c r="BK292" i="1" s="1"/>
  <c r="BJ162" i="1"/>
  <c r="BK162" i="1" s="1"/>
  <c r="BJ366" i="1"/>
  <c r="BK366" i="1" s="1"/>
  <c r="BJ328" i="1"/>
  <c r="BK328" i="1" s="1"/>
  <c r="BJ349" i="1"/>
  <c r="BK349" i="1" s="1"/>
  <c r="BJ15" i="1"/>
  <c r="BK15" i="1" s="1"/>
  <c r="BJ114" i="1"/>
  <c r="BK114" i="1" s="1"/>
  <c r="BJ130" i="1"/>
  <c r="BK130" i="1" s="1"/>
  <c r="BJ132" i="1"/>
  <c r="BK132" i="1" s="1"/>
  <c r="BJ204" i="1"/>
  <c r="BK204" i="1" s="1"/>
  <c r="BJ382" i="1"/>
  <c r="BJ332" i="1"/>
  <c r="BK332" i="1" s="1"/>
  <c r="BJ278" i="1"/>
  <c r="BK278" i="1" s="1"/>
  <c r="BJ179" i="1"/>
  <c r="BK179" i="1" s="1"/>
  <c r="BJ325" i="1"/>
  <c r="BK325" i="1" s="1"/>
  <c r="BJ238" i="1"/>
  <c r="BK238" i="1" s="1"/>
  <c r="BJ96" i="1"/>
  <c r="BK96" i="1" s="1"/>
  <c r="BJ170" i="1"/>
  <c r="BK170" i="1" s="1"/>
  <c r="BJ28" i="1"/>
  <c r="BK28" i="1" s="1"/>
  <c r="BJ90" i="1"/>
  <c r="BK90" i="1" s="1"/>
  <c r="BJ286" i="1"/>
  <c r="BK286" i="1" s="1"/>
  <c r="BJ128" i="1"/>
  <c r="BK128" i="1" s="1"/>
  <c r="BJ97" i="1"/>
  <c r="BK97" i="1" s="1"/>
  <c r="BJ221" i="1"/>
  <c r="BK221" i="1" s="1"/>
  <c r="BJ67" i="1"/>
  <c r="BK67" i="1" s="1"/>
  <c r="BJ306" i="1"/>
  <c r="BK306" i="1" s="1"/>
  <c r="BJ157" i="1"/>
  <c r="BK157" i="1" s="1"/>
  <c r="BJ393" i="1"/>
  <c r="BJ158" i="1"/>
  <c r="BK158" i="1" s="1"/>
  <c r="BJ143" i="1"/>
  <c r="BK143" i="1" s="1"/>
  <c r="BJ261" i="1"/>
  <c r="BK261" i="1" s="1"/>
  <c r="BJ99" i="1"/>
  <c r="BK99" i="1" s="1"/>
  <c r="BJ118" i="1"/>
  <c r="BK118" i="1" s="1"/>
  <c r="BJ381" i="1"/>
  <c r="BJ291" i="1"/>
  <c r="BK291" i="1" s="1"/>
  <c r="BJ185" i="1"/>
  <c r="BK185" i="1" s="1"/>
  <c r="BJ83" i="1"/>
  <c r="BK83" i="1" s="1"/>
  <c r="BJ344" i="1"/>
  <c r="BK344" i="1" s="1"/>
  <c r="BJ300" i="1"/>
  <c r="BK300" i="1" s="1"/>
  <c r="BJ234" i="1"/>
  <c r="BK234" i="1" s="1"/>
  <c r="BJ29" i="1"/>
  <c r="BK29" i="1" s="1"/>
  <c r="BJ142" i="1"/>
  <c r="BK142" i="1" s="1"/>
  <c r="BJ110" i="1"/>
  <c r="BK110" i="1" s="1"/>
  <c r="BJ164" i="1"/>
  <c r="BK164" i="1" s="1"/>
  <c r="BJ207" i="1"/>
  <c r="BK207" i="1" s="1"/>
  <c r="BJ109" i="1"/>
  <c r="BK109" i="1" s="1"/>
  <c r="BJ329" i="1"/>
  <c r="BK329" i="1" s="1"/>
  <c r="BJ217" i="1"/>
  <c r="BK217" i="1" s="1"/>
  <c r="BJ289" i="1"/>
  <c r="BK289" i="1" s="1"/>
  <c r="BJ383" i="1"/>
  <c r="BJ116" i="1"/>
  <c r="BK116" i="1" s="1"/>
  <c r="BJ231" i="1"/>
  <c r="BK231" i="1" s="1"/>
  <c r="BJ265" i="1"/>
  <c r="BK265" i="1" s="1"/>
  <c r="BJ19" i="1"/>
  <c r="BK19" i="1" s="1"/>
  <c r="BJ355" i="1"/>
  <c r="BK355" i="1" s="1"/>
  <c r="BJ385" i="1"/>
  <c r="BJ305" i="1"/>
  <c r="BJ159" i="1"/>
  <c r="BK159" i="1" s="1"/>
  <c r="BJ33" i="1"/>
  <c r="BK33" i="1" s="1"/>
  <c r="BJ209" i="1"/>
  <c r="BK209" i="1" s="1"/>
  <c r="BJ219" i="1"/>
  <c r="BK219" i="1" s="1"/>
  <c r="BJ187" i="1"/>
  <c r="BK187" i="1" s="1"/>
  <c r="BJ352" i="1"/>
  <c r="BK352" i="1" s="1"/>
  <c r="BJ91" i="1"/>
  <c r="BK91" i="1" s="1"/>
  <c r="BJ228" i="1"/>
  <c r="BK228" i="1" s="1"/>
  <c r="BJ346" i="1"/>
  <c r="BK346" i="1" s="1"/>
  <c r="BJ304" i="1"/>
  <c r="BK304" i="1" s="1"/>
  <c r="BJ202" i="1"/>
  <c r="BK202" i="1" s="1"/>
  <c r="BJ23" i="1"/>
  <c r="BK23" i="1" s="1"/>
  <c r="BJ100" i="1"/>
  <c r="BK100" i="1" s="1"/>
  <c r="BJ376" i="1"/>
  <c r="BJ254" i="1"/>
  <c r="BK254" i="1" s="1"/>
  <c r="BJ318" i="1"/>
  <c r="BK318" i="1" s="1"/>
  <c r="BJ68" i="1"/>
  <c r="BK68" i="1" s="1"/>
  <c r="BJ145" i="1"/>
  <c r="BK145" i="1" s="1"/>
  <c r="BJ389" i="1"/>
  <c r="BJ106" i="1"/>
  <c r="BK106" i="1" s="1"/>
  <c r="BJ233" i="1"/>
  <c r="BK233" i="1" s="1"/>
  <c r="BJ322" i="1"/>
  <c r="BK322" i="1" s="1"/>
  <c r="BJ86" i="1"/>
  <c r="BK86" i="1" s="1"/>
  <c r="BJ364" i="1"/>
  <c r="BJ45" i="1"/>
  <c r="BK45" i="1" s="1"/>
  <c r="BJ245" i="1"/>
  <c r="BK245" i="1" s="1"/>
  <c r="BJ373" i="1"/>
  <c r="BK373" i="1" s="1"/>
  <c r="BJ252" i="1"/>
  <c r="BK252" i="1" s="1"/>
  <c r="BJ181" i="1"/>
  <c r="BK181" i="1" s="1"/>
  <c r="BJ270" i="1"/>
  <c r="BK270" i="1" s="1"/>
  <c r="BJ183" i="1"/>
  <c r="BK183" i="1" s="1"/>
  <c r="BJ138" i="1"/>
  <c r="BK138" i="1" s="1"/>
  <c r="BJ236" i="1"/>
  <c r="BK236" i="1" s="1"/>
  <c r="BJ287" i="1"/>
  <c r="BK287" i="1" s="1"/>
  <c r="BJ256" i="1"/>
  <c r="BK256" i="1" s="1"/>
  <c r="BJ365" i="1"/>
  <c r="BK365" i="1" s="1"/>
  <c r="BJ266" i="1"/>
  <c r="BJ12" i="1"/>
  <c r="BK12" i="1" s="1"/>
  <c r="BJ199" i="1"/>
  <c r="BK199" i="1" s="1"/>
  <c r="BJ104" i="1"/>
  <c r="BK104" i="1" s="1"/>
  <c r="BJ338" i="1"/>
  <c r="BK338" i="1" s="1"/>
  <c r="BJ384" i="1"/>
  <c r="BJ59" i="1"/>
  <c r="BK59" i="1" s="1"/>
  <c r="BJ242" i="1"/>
  <c r="BK242" i="1" s="1"/>
  <c r="BJ166" i="1"/>
  <c r="BK166" i="1" s="1"/>
  <c r="BJ273" i="1"/>
  <c r="BK273" i="1" s="1"/>
  <c r="BJ342" i="1"/>
  <c r="BK342" i="1" s="1"/>
  <c r="BJ14" i="1"/>
  <c r="BK14" i="1" s="1"/>
  <c r="BJ334" i="1"/>
  <c r="BK334" i="1" s="1"/>
  <c r="BJ390" i="1"/>
  <c r="BJ26" i="1"/>
  <c r="BK26" i="1" s="1"/>
  <c r="BJ320" i="1"/>
  <c r="BJ321" i="1"/>
  <c r="BK321" i="1" s="1"/>
  <c r="BJ374" i="1"/>
  <c r="BJ122" i="1"/>
  <c r="BK122" i="1" s="1"/>
  <c r="BJ151" i="1"/>
  <c r="BK151" i="1" s="1"/>
  <c r="BJ11" i="1"/>
  <c r="BK11" i="1" s="1"/>
  <c r="BJ92" i="1"/>
  <c r="BK92" i="1" s="1"/>
  <c r="BJ361" i="1"/>
  <c r="BK361" i="1" s="1"/>
  <c r="BJ213" i="1"/>
  <c r="BK213" i="1" s="1"/>
  <c r="BJ168" i="1"/>
  <c r="BK168" i="1" s="1"/>
  <c r="BJ324" i="1"/>
  <c r="BK324" i="1" s="1"/>
  <c r="BJ107" i="1"/>
  <c r="BK107" i="1" s="1"/>
  <c r="BJ229" i="1"/>
  <c r="BK229" i="1" s="1"/>
  <c r="BJ69" i="1"/>
  <c r="BK69" i="1" s="1"/>
  <c r="BJ32" i="1"/>
  <c r="BK32" i="1" s="1"/>
  <c r="BJ368" i="1"/>
  <c r="BK368" i="1" s="1"/>
  <c r="BJ272" i="1"/>
  <c r="BK272" i="1" s="1"/>
  <c r="BJ297" i="1"/>
  <c r="BK297" i="1" s="1"/>
  <c r="BJ79" i="1"/>
  <c r="BK79" i="1" s="1"/>
  <c r="BJ44" i="1"/>
  <c r="BK44" i="1" s="1"/>
  <c r="BJ135" i="1"/>
  <c r="BK135" i="1" s="1"/>
  <c r="BJ8" i="1"/>
  <c r="BK8" i="1" s="1"/>
  <c r="BJ46" i="1"/>
  <c r="BK46" i="1" s="1"/>
  <c r="BJ50" i="1"/>
  <c r="BK50" i="1" s="1"/>
  <c r="BJ314" i="1"/>
  <c r="BJ189" i="1"/>
  <c r="BK189" i="1" s="1"/>
  <c r="BJ133" i="1"/>
  <c r="BK133" i="1" s="1"/>
  <c r="BJ134" i="1"/>
  <c r="BK134" i="1" s="1"/>
  <c r="BJ337" i="1"/>
  <c r="BK337" i="1" s="1"/>
  <c r="BJ255" i="1"/>
  <c r="BK255" i="1" s="1"/>
  <c r="BJ281" i="1"/>
  <c r="BK281" i="1" s="1"/>
  <c r="BJ156" i="1"/>
  <c r="BK156" i="1" s="1"/>
  <c r="BJ148" i="1"/>
  <c r="BK148" i="1" s="1"/>
  <c r="BJ293" i="1"/>
  <c r="BK293" i="1" s="1"/>
  <c r="BJ177" i="1"/>
  <c r="BK177" i="1" s="1"/>
  <c r="BJ121" i="1"/>
  <c r="BK121" i="1" s="1"/>
  <c r="BJ124" i="1"/>
  <c r="BK124" i="1" s="1"/>
  <c r="BJ343" i="1"/>
  <c r="BK343" i="1" s="1"/>
  <c r="BJ282" i="1"/>
  <c r="BK282" i="1" s="1"/>
  <c r="BJ139" i="1"/>
  <c r="BK139" i="1" s="1"/>
  <c r="BJ296" i="1"/>
  <c r="BK296" i="1" s="1"/>
  <c r="BJ182" i="1"/>
  <c r="BK182" i="1" s="1"/>
  <c r="BJ253" i="1"/>
  <c r="BK253" i="1" s="1"/>
  <c r="BJ271" i="1"/>
  <c r="BK271" i="1" s="1"/>
  <c r="BJ232" i="1"/>
  <c r="BK232" i="1" s="1"/>
  <c r="BJ75" i="1"/>
  <c r="BK75" i="1" s="1"/>
  <c r="BJ331" i="1"/>
  <c r="BK331" i="1" s="1"/>
  <c r="BJ163" i="1"/>
  <c r="BK163" i="1" s="1"/>
  <c r="BJ80" i="1"/>
  <c r="BK80" i="1" s="1"/>
  <c r="BJ267" i="1"/>
  <c r="BK267" i="1" s="1"/>
  <c r="BJ333" i="1"/>
  <c r="BK333" i="1" s="1"/>
  <c r="BJ310" i="1"/>
  <c r="BK310" i="1" s="1"/>
  <c r="BJ211" i="1"/>
  <c r="BK211" i="1" s="1"/>
  <c r="BJ167" i="1"/>
  <c r="BK167" i="1" s="1"/>
  <c r="BJ137" i="1"/>
  <c r="BK137" i="1" s="1"/>
  <c r="AV400" i="1"/>
  <c r="AW7" i="1"/>
  <c r="AW400" i="1" s="1"/>
  <c r="R403" i="1" s="1"/>
  <c r="S403" i="1" s="1"/>
  <c r="BJ294" i="1"/>
  <c r="BK294" i="1" s="1"/>
  <c r="BF400" i="1"/>
  <c r="R404" i="1" s="1"/>
  <c r="S404" i="1" s="1"/>
  <c r="BJ237" i="1"/>
  <c r="BK237" i="1" s="1"/>
  <c r="BJ307" i="1"/>
  <c r="BK307" i="1" s="1"/>
  <c r="BK400" i="1" l="1"/>
  <c r="R401" i="1" s="1"/>
  <c r="S401" i="1" s="1"/>
  <c r="BJ400" i="1"/>
</calcChain>
</file>

<file path=xl/sharedStrings.xml><?xml version="1.0" encoding="utf-8"?>
<sst xmlns="http://schemas.openxmlformats.org/spreadsheetml/2006/main" count="1728" uniqueCount="798">
  <si>
    <t>La Hipotecaria, S.A.</t>
  </si>
  <si>
    <r>
      <rPr>
        <b/>
        <sz val="12"/>
        <color theme="1"/>
        <rFont val="Montserrat"/>
      </rPr>
      <t>Recovery Analysis - Mortgages Panama /</t>
    </r>
    <r>
      <rPr>
        <b/>
        <sz val="12"/>
        <color rgb="FF800000"/>
        <rFont val="Montserrat"/>
      </rPr>
      <t xml:space="preserve"> </t>
    </r>
    <r>
      <rPr>
        <b/>
        <sz val="12"/>
        <color rgb="FF0000FF"/>
        <rFont val="Montserrat"/>
      </rPr>
      <t>Análisis de Recuperación - Hipotecas Panamá</t>
    </r>
  </si>
  <si>
    <t>Cálculo de Intereses y Seguros</t>
  </si>
  <si>
    <t>Data - Legal Foreclosure</t>
  </si>
  <si>
    <t>Data - Deed in Lieu</t>
  </si>
  <si>
    <t xml:space="preserve"> </t>
  </si>
  <si>
    <r>
      <rPr>
        <b/>
        <sz val="10"/>
        <color rgb="FF000000"/>
        <rFont val="Arial"/>
      </rPr>
      <t xml:space="preserve">Loan ID 
</t>
    </r>
    <r>
      <rPr>
        <b/>
        <sz val="10"/>
        <color rgb="FF0000FF"/>
        <rFont val="Arial"/>
      </rPr>
      <t>Número de Préstamo</t>
    </r>
  </si>
  <si>
    <t>Saldo Original</t>
  </si>
  <si>
    <t>Meses de Mora al momento del estatus de recuperación</t>
  </si>
  <si>
    <r>
      <rPr>
        <b/>
        <sz val="10"/>
        <color rgb="FF000000"/>
        <rFont val="Arial"/>
      </rPr>
      <t xml:space="preserve">Loan Balance upon Repossesion  
</t>
    </r>
    <r>
      <rPr>
        <b/>
        <sz val="10"/>
        <color rgb="FF0000FF"/>
        <rFont val="Arial"/>
      </rPr>
      <t>Saldo del préstamo al momento de Reposeer</t>
    </r>
  </si>
  <si>
    <r>
      <rPr>
        <b/>
        <sz val="10"/>
        <color rgb="FF000000"/>
        <rFont val="Arial"/>
      </rPr>
      <t xml:space="preserve">Repossesion Method 
</t>
    </r>
    <r>
      <rPr>
        <b/>
        <sz val="10"/>
        <color rgb="FF0000FF"/>
        <rFont val="Arial"/>
      </rPr>
      <t>Método de Reposesión</t>
    </r>
  </si>
  <si>
    <r>
      <rPr>
        <b/>
        <sz val="10"/>
        <color rgb="FF000000"/>
        <rFont val="Arial"/>
      </rPr>
      <t xml:space="preserve">Month of Repossesion  
</t>
    </r>
    <r>
      <rPr>
        <b/>
        <sz val="10"/>
        <color rgb="FF0000FF"/>
        <rFont val="Arial"/>
      </rPr>
      <t>Mes de Reposesión</t>
    </r>
  </si>
  <si>
    <r>
      <rPr>
        <b/>
        <sz val="10"/>
        <color rgb="FF000000"/>
        <rFont val="Arial"/>
      </rPr>
      <t xml:space="preserve">Current Status  
</t>
    </r>
    <r>
      <rPr>
        <b/>
        <sz val="10"/>
        <color rgb="FF0000FF"/>
        <rFont val="Arial"/>
      </rPr>
      <t>Estatus Actual</t>
    </r>
  </si>
  <si>
    <r>
      <rPr>
        <b/>
        <sz val="10"/>
        <color rgb="FF000000"/>
        <rFont val="Arial"/>
      </rPr>
      <t xml:space="preserve">Month of Recovery
</t>
    </r>
    <r>
      <rPr>
        <b/>
        <sz val="10"/>
        <color rgb="FF0C26CC"/>
        <rFont val="Arial"/>
      </rPr>
      <t>Mes de Recuperación</t>
    </r>
  </si>
  <si>
    <r>
      <rPr>
        <b/>
        <sz val="10"/>
        <color rgb="FF000000"/>
        <rFont val="Arial"/>
      </rPr>
      <t xml:space="preserve">Months to Recover  </t>
    </r>
    <r>
      <rPr>
        <b/>
        <sz val="10"/>
        <color rgb="FF0000FF"/>
        <rFont val="Arial"/>
      </rPr>
      <t>Meses para Recuperar</t>
    </r>
  </si>
  <si>
    <r>
      <rPr>
        <b/>
        <sz val="10"/>
        <color rgb="FF000000"/>
        <rFont val="Arial"/>
      </rPr>
      <t xml:space="preserve">New Borrower Loan Number  
</t>
    </r>
    <r>
      <rPr>
        <b/>
        <sz val="10"/>
        <color rgb="FF0000FF"/>
        <rFont val="Arial"/>
      </rPr>
      <t>Número de Préstamo del Nuevo Cliente</t>
    </r>
  </si>
  <si>
    <r>
      <rPr>
        <b/>
        <sz val="10"/>
        <color rgb="FF000000"/>
        <rFont val="Arial"/>
      </rPr>
      <t xml:space="preserve">Proceeds from Sale
</t>
    </r>
    <r>
      <rPr>
        <b/>
        <sz val="10"/>
        <color rgb="FF0000FF"/>
        <rFont val="Arial"/>
      </rPr>
      <t>Monto Recuperado de Venta</t>
    </r>
  </si>
  <si>
    <r>
      <rPr>
        <b/>
        <sz val="10"/>
        <color rgb="FF000000"/>
        <rFont val="Arial"/>
      </rPr>
      <t xml:space="preserve">Accrued interest and insurance costs until date of loan payoff, net.    </t>
    </r>
    <r>
      <rPr>
        <b/>
        <sz val="10"/>
        <color rgb="FF0000FF"/>
        <rFont val="Arial"/>
      </rPr>
      <t>Monto de interés y seguro hasta fecha de liquidación (Nota B)</t>
    </r>
  </si>
  <si>
    <r>
      <rPr>
        <b/>
        <sz val="10"/>
        <color rgb="FF000000"/>
        <rFont val="Arial"/>
      </rPr>
      <t xml:space="preserve">Legal Costs   
</t>
    </r>
    <r>
      <rPr>
        <b/>
        <sz val="10"/>
        <color rgb="FF0000FF"/>
        <rFont val="Arial"/>
      </rPr>
      <t>Gastos Legales</t>
    </r>
  </si>
  <si>
    <r>
      <rPr>
        <b/>
        <sz val="10"/>
        <color rgb="FF000000"/>
        <rFont val="Arial"/>
      </rPr>
      <t xml:space="preserve">Repairs and Other Costs   
</t>
    </r>
    <r>
      <rPr>
        <b/>
        <sz val="10"/>
        <color rgb="FF0000FF"/>
        <rFont val="Arial"/>
      </rPr>
      <t>Gastos de Reparación</t>
    </r>
  </si>
  <si>
    <r>
      <rPr>
        <b/>
        <sz val="10"/>
        <color rgb="FF000000"/>
        <rFont val="Arial"/>
      </rPr>
      <t xml:space="preserve">Loss of Capital Only  
</t>
    </r>
    <r>
      <rPr>
        <b/>
        <sz val="10"/>
        <color rgb="FF0000FF"/>
        <rFont val="Arial"/>
      </rPr>
      <t>Pérdida en Capital Solamente</t>
    </r>
  </si>
  <si>
    <r>
      <rPr>
        <b/>
        <sz val="10"/>
        <color rgb="FF000000"/>
        <rFont val="Arial"/>
      </rPr>
      <t xml:space="preserve">Total Loss  
</t>
    </r>
    <r>
      <rPr>
        <b/>
        <sz val="10"/>
        <color rgb="FF0000FF"/>
        <rFont val="Arial"/>
      </rPr>
      <t>Pérdida Total</t>
    </r>
  </si>
  <si>
    <r>
      <rPr>
        <b/>
        <sz val="10"/>
        <color rgb="FF000000"/>
        <rFont val="Arial"/>
      </rPr>
      <t xml:space="preserve">% Loss  
</t>
    </r>
    <r>
      <rPr>
        <b/>
        <sz val="10"/>
        <color rgb="FF0000FF"/>
        <rFont val="Arial"/>
      </rPr>
      <t>% de Pérdida</t>
    </r>
  </si>
  <si>
    <r>
      <rPr>
        <b/>
        <sz val="10"/>
        <color rgb="FF000000"/>
        <rFont val="Arial"/>
      </rPr>
      <t xml:space="preserve">% Recovery  
</t>
    </r>
    <r>
      <rPr>
        <b/>
        <sz val="10"/>
        <color rgb="FF0000FF"/>
        <rFont val="Arial"/>
      </rPr>
      <t>%  Recuperación</t>
    </r>
  </si>
  <si>
    <t>Gastos de Manejo</t>
  </si>
  <si>
    <t>Gastos de Renovación</t>
  </si>
  <si>
    <t>ITMBS</t>
  </si>
  <si>
    <t>Gastos 
FECI acumulados</t>
  </si>
  <si>
    <r>
      <rPr>
        <sz val="10"/>
        <color theme="1"/>
        <rFont val="Arial"/>
      </rPr>
      <t xml:space="preserve">Total 
</t>
    </r>
    <r>
      <rPr>
        <sz val="10"/>
        <color rgb="FF0C26CC"/>
        <rFont val="Arial"/>
      </rPr>
      <t>Seguros acumulados en APPX 
(I)</t>
    </r>
  </si>
  <si>
    <r>
      <rPr>
        <sz val="10"/>
        <color theme="1"/>
        <rFont val="Arial"/>
      </rPr>
      <t xml:space="preserve">Total de </t>
    </r>
    <r>
      <rPr>
        <sz val="10"/>
        <color rgb="FF0C26CC"/>
        <rFont val="Arial"/>
      </rPr>
      <t>Intereses del cliente en APPX</t>
    </r>
  </si>
  <si>
    <t>Total
Columna Nota  B</t>
  </si>
  <si>
    <t>Saldo de HIPOTECA IMPAR</t>
  </si>
  <si>
    <t>Tasa de Interés del cliente - HPOTECA</t>
  </si>
  <si>
    <t>Intereses acumulados por 180 días 
(II) IMPAR - HIPOTECA</t>
  </si>
  <si>
    <t>Saldo de HIPOTECA PAR</t>
  </si>
  <si>
    <t>Tasa de Interés del cliente - CONSUMO</t>
  </si>
  <si>
    <t>Intereses acumulados por 180 días 
(II) PAR - CONSUMO</t>
  </si>
  <si>
    <t xml:space="preserve">Saldo </t>
  </si>
  <si>
    <t>Total de Intereses</t>
  </si>
  <si>
    <t>Intereses a ser utilizados en el cálculo (Real vs 180 días)</t>
  </si>
  <si>
    <t>Total para columna B (I + II)</t>
  </si>
  <si>
    <t>¿Fue Legal?</t>
  </si>
  <si>
    <t>¿Está el Caso Resuelto?</t>
  </si>
  <si>
    <t>¿Fue el Caso Legal Resuelto?</t>
  </si>
  <si>
    <t>Gastos de Reparaciones y Gastos Legales de Casos Resueltos</t>
  </si>
  <si>
    <t>Monto original de Casos Legales Resueltos</t>
  </si>
  <si>
    <t>Meses de Recuperación de Casos Resueltos</t>
  </si>
  <si>
    <t>Peso de este caso de todos los casos Resueltos</t>
  </si>
  <si>
    <t>Cálculo para Promedio Ponderada</t>
  </si>
  <si>
    <t>¿Fue Dación?</t>
  </si>
  <si>
    <t>¿Fue el Caso de Dación Resuelto?</t>
  </si>
  <si>
    <t>Gastos de Reparaciones y Gastos Legales de Casos Resuletos</t>
  </si>
  <si>
    <t>Data Deed in Lieu / Foreclosure</t>
  </si>
  <si>
    <t># Total</t>
  </si>
  <si>
    <t>1-P-0121</t>
  </si>
  <si>
    <t>Legal Foreclosure</t>
  </si>
  <si>
    <t>Sold</t>
  </si>
  <si>
    <t>01-P-2127</t>
  </si>
  <si>
    <t>1-C-0039</t>
  </si>
  <si>
    <t>01-C-0121</t>
  </si>
  <si>
    <t>1-C-0033</t>
  </si>
  <si>
    <t>01-C-0125</t>
  </si>
  <si>
    <t>1-P-1854</t>
  </si>
  <si>
    <t>Deed in Lieu</t>
  </si>
  <si>
    <t>01-P-3211</t>
  </si>
  <si>
    <t>1-P-1058</t>
  </si>
  <si>
    <t>04-P-0551 / 0552</t>
  </si>
  <si>
    <t>1-C-0125</t>
  </si>
  <si>
    <t>External Fin.</t>
  </si>
  <si>
    <t>1-P-1200</t>
  </si>
  <si>
    <t>01-P-3385</t>
  </si>
  <si>
    <t>1-P-2287</t>
  </si>
  <si>
    <t>01-P-3394</t>
  </si>
  <si>
    <t>1-P-2354</t>
  </si>
  <si>
    <t>01-P-3379</t>
  </si>
  <si>
    <t>1-C-0122</t>
  </si>
  <si>
    <t>4-C-0007</t>
  </si>
  <si>
    <t>1-P-1233</t>
  </si>
  <si>
    <t>01-P-3441</t>
  </si>
  <si>
    <t>1-P-0025</t>
  </si>
  <si>
    <t>01-P-3464</t>
  </si>
  <si>
    <t>1-P-0665</t>
  </si>
  <si>
    <t>01-P-3462</t>
  </si>
  <si>
    <t>4-P-1191</t>
  </si>
  <si>
    <t>01-P-3477</t>
  </si>
  <si>
    <t>1-P-2150</t>
  </si>
  <si>
    <t>01-P-3468</t>
  </si>
  <si>
    <t>1-P-2398</t>
  </si>
  <si>
    <t>01-P-3537</t>
  </si>
  <si>
    <t>1-P-2782</t>
  </si>
  <si>
    <t>01-P-3540</t>
  </si>
  <si>
    <t>2-P-0915</t>
  </si>
  <si>
    <t>06-P-4951</t>
  </si>
  <si>
    <t>1-P-1828</t>
  </si>
  <si>
    <t>01-P-3653</t>
  </si>
  <si>
    <t>4-C-0055</t>
  </si>
  <si>
    <t>01-C-634</t>
  </si>
  <si>
    <t>2-P-2083</t>
  </si>
  <si>
    <t>02-P-5162</t>
  </si>
  <si>
    <t>1-P-2693</t>
  </si>
  <si>
    <t>01-P-3642</t>
  </si>
  <si>
    <t>1-P-3394</t>
  </si>
  <si>
    <t>01-P-3593</t>
  </si>
  <si>
    <t>2-P-2679</t>
  </si>
  <si>
    <t>06-P-4329</t>
  </si>
  <si>
    <t>1-P-1389</t>
  </si>
  <si>
    <t>06-P-5189 / 5190</t>
  </si>
  <si>
    <t>1-P-0536</t>
  </si>
  <si>
    <t>01-C-4213</t>
  </si>
  <si>
    <t>2-P-2251</t>
  </si>
  <si>
    <t>02-P-6400</t>
  </si>
  <si>
    <t>2-P-2623</t>
  </si>
  <si>
    <t>02-P-6565</t>
  </si>
  <si>
    <t>2-P-2299</t>
  </si>
  <si>
    <t>02-P-6031</t>
  </si>
  <si>
    <t>4-P-1195</t>
  </si>
  <si>
    <t>01-P-3605</t>
  </si>
  <si>
    <t>1-P-2383</t>
  </si>
  <si>
    <t>06-P-4171</t>
  </si>
  <si>
    <t>1-P-0705</t>
  </si>
  <si>
    <t>06-P-4605 / 4606</t>
  </si>
  <si>
    <t>1-P-1845</t>
  </si>
  <si>
    <t>01-C-8132</t>
  </si>
  <si>
    <t>2-P-3232</t>
  </si>
  <si>
    <t>02-P-7900</t>
  </si>
  <si>
    <t>1-P-2881</t>
  </si>
  <si>
    <t>06-P-5995 / 5996</t>
  </si>
  <si>
    <t>6-P-0557</t>
  </si>
  <si>
    <t>01-C-4201</t>
  </si>
  <si>
    <t>2-P-0574</t>
  </si>
  <si>
    <t>01-P-3651</t>
  </si>
  <si>
    <t>6-P-1681</t>
  </si>
  <si>
    <t>06-P-5433</t>
  </si>
  <si>
    <t>2-P-2766</t>
  </si>
  <si>
    <t>01-P-3657</t>
  </si>
  <si>
    <t>4-C-0901</t>
  </si>
  <si>
    <t>01-C-4359</t>
  </si>
  <si>
    <t>2-P-3696</t>
  </si>
  <si>
    <t>06-P-5353 / 5354</t>
  </si>
  <si>
    <t>2-P-0099</t>
  </si>
  <si>
    <t>01-P-3658</t>
  </si>
  <si>
    <t>2-P-4579</t>
  </si>
  <si>
    <t>02-P-9061</t>
  </si>
  <si>
    <t>4-C-0433</t>
  </si>
  <si>
    <t>F. Externo</t>
  </si>
  <si>
    <t>2-P-0234</t>
  </si>
  <si>
    <t>06-P-6505</t>
  </si>
  <si>
    <t>2-P-2331</t>
  </si>
  <si>
    <t>06-P-6181/6182</t>
  </si>
  <si>
    <t>6-P-0753</t>
  </si>
  <si>
    <t>06-P-6183/6184</t>
  </si>
  <si>
    <t>6-P-2995</t>
  </si>
  <si>
    <t>06-P-8847</t>
  </si>
  <si>
    <t>4-C-0729</t>
  </si>
  <si>
    <t>04-C-3347</t>
  </si>
  <si>
    <t>2-P-1642</t>
  </si>
  <si>
    <t>06-P-9407/9408</t>
  </si>
  <si>
    <t>1-C-0365</t>
  </si>
  <si>
    <t>01-C-8046</t>
  </si>
  <si>
    <t>2-P-3918</t>
  </si>
  <si>
    <t>02-P-8949</t>
  </si>
  <si>
    <t>2-P-4943</t>
  </si>
  <si>
    <t>06-P-3227</t>
  </si>
  <si>
    <t>6-P-4957</t>
  </si>
  <si>
    <t>06-P-8851</t>
  </si>
  <si>
    <t>2-P-2140</t>
  </si>
  <si>
    <t>06-P-8841</t>
  </si>
  <si>
    <t>6-P-0337</t>
  </si>
  <si>
    <t>06-P-8879</t>
  </si>
  <si>
    <t>2-P-1061</t>
  </si>
  <si>
    <t>06-P-8843/8844</t>
  </si>
  <si>
    <t>2-P-1466</t>
  </si>
  <si>
    <t>06-P-8849</t>
  </si>
  <si>
    <t>1-P-1327</t>
  </si>
  <si>
    <t>06-P-4033</t>
  </si>
  <si>
    <t>6-P-3807</t>
  </si>
  <si>
    <t>06-P-8871</t>
  </si>
  <si>
    <t>6-P-1275</t>
  </si>
  <si>
    <t>06-P-8935</t>
  </si>
  <si>
    <t>2-P-2829</t>
  </si>
  <si>
    <t>N/A</t>
  </si>
  <si>
    <t>1-P-1464</t>
  </si>
  <si>
    <t>6-P-0981</t>
  </si>
  <si>
    <t>01-C-8029</t>
  </si>
  <si>
    <t>4-C-0533</t>
  </si>
  <si>
    <t>04-C-3367</t>
  </si>
  <si>
    <t>2-P-3106</t>
  </si>
  <si>
    <t>06-P-6179</t>
  </si>
  <si>
    <t>1-P-1391</t>
  </si>
  <si>
    <t>2-P-6006</t>
  </si>
  <si>
    <t>06-P-8969/8970</t>
  </si>
  <si>
    <t>1-P-3392</t>
  </si>
  <si>
    <t>06-P-9061/9062</t>
  </si>
  <si>
    <t>2-P-5086</t>
  </si>
  <si>
    <t>06-P-9115-9116</t>
  </si>
  <si>
    <t>2-P-3950</t>
  </si>
  <si>
    <t>4-C-3193</t>
  </si>
  <si>
    <t>01-C-8073</t>
  </si>
  <si>
    <t>2-P-5155</t>
  </si>
  <si>
    <t>4-C-0689</t>
  </si>
  <si>
    <t>01-C-8056</t>
  </si>
  <si>
    <t>2-P-3091</t>
  </si>
  <si>
    <t>06-P-9207/9208</t>
  </si>
  <si>
    <t>2-P-1573</t>
  </si>
  <si>
    <t>06-P-3237</t>
  </si>
  <si>
    <t>1-P-2507</t>
  </si>
  <si>
    <t>6-P-2425</t>
  </si>
  <si>
    <t>01-C-8084</t>
  </si>
  <si>
    <t>2-P-1485</t>
  </si>
  <si>
    <t>06-P-9273/9274</t>
  </si>
  <si>
    <t>2-P-2136</t>
  </si>
  <si>
    <t>06-P-9319/9320</t>
  </si>
  <si>
    <t>6-P-0859</t>
  </si>
  <si>
    <t>01-C-8087</t>
  </si>
  <si>
    <t>2-P-3774</t>
  </si>
  <si>
    <t>06-P-8955/8956</t>
  </si>
  <si>
    <t>6-P-3661</t>
  </si>
  <si>
    <t>01-C-8095</t>
  </si>
  <si>
    <t>6-P-4177</t>
  </si>
  <si>
    <t>06-P-9261/9262</t>
  </si>
  <si>
    <t>2-P-3494</t>
  </si>
  <si>
    <t>06-P-9239/9240</t>
  </si>
  <si>
    <t>6-P-2877</t>
  </si>
  <si>
    <t>06-P-9431/9432</t>
  </si>
  <si>
    <t>6-P-2791</t>
  </si>
  <si>
    <t>01-C-8131</t>
  </si>
  <si>
    <t>2-P-0944</t>
  </si>
  <si>
    <t>6-P-3167</t>
  </si>
  <si>
    <t>1-C-0280</t>
  </si>
  <si>
    <t>4-P-0977</t>
  </si>
  <si>
    <t>06-P-9921/9922</t>
  </si>
  <si>
    <t>4-P-0671</t>
  </si>
  <si>
    <t>01-C-8133</t>
  </si>
  <si>
    <t>2-P-1631</t>
  </si>
  <si>
    <t>6-P-3845</t>
  </si>
  <si>
    <t>6-P-4891</t>
  </si>
  <si>
    <t>6-P0403</t>
  </si>
  <si>
    <t>1-P-0834</t>
  </si>
  <si>
    <t>4-C-2735</t>
  </si>
  <si>
    <t>2-P-6032</t>
  </si>
  <si>
    <t>06-P-101105/101106</t>
  </si>
  <si>
    <t>2-P-0973</t>
  </si>
  <si>
    <t>06-P-10483</t>
  </si>
  <si>
    <t>6-P-5467</t>
  </si>
  <si>
    <t>01-C-8196</t>
  </si>
  <si>
    <t>2-P-2288</t>
  </si>
  <si>
    <t>06-P-10403</t>
  </si>
  <si>
    <t>1-C-1264</t>
  </si>
  <si>
    <t>01-C-8200</t>
  </si>
  <si>
    <t>2-P-10321</t>
  </si>
  <si>
    <t>06-P-10237/10238</t>
  </si>
  <si>
    <t>4-P-0097</t>
  </si>
  <si>
    <t>06-P-9933</t>
  </si>
  <si>
    <t>2-P-7274</t>
  </si>
  <si>
    <t>06-P-10045</t>
  </si>
  <si>
    <t>2-P-1658</t>
  </si>
  <si>
    <t>06-P-10517/10518</t>
  </si>
  <si>
    <t>2-P-6831</t>
  </si>
  <si>
    <t>06-P-9719</t>
  </si>
  <si>
    <t>1-P-3718</t>
  </si>
  <si>
    <t>06-P-9705/9706</t>
  </si>
  <si>
    <t>6-P-4883</t>
  </si>
  <si>
    <t>01-C-8240</t>
  </si>
  <si>
    <t>2-P-0783</t>
  </si>
  <si>
    <t>06-P-10247/10248</t>
  </si>
  <si>
    <t>6-P-1055</t>
  </si>
  <si>
    <t>01-C-8249</t>
  </si>
  <si>
    <t>4-C-1087</t>
  </si>
  <si>
    <t>2-P-2778</t>
  </si>
  <si>
    <t>06-P-1012910130</t>
  </si>
  <si>
    <t>2-P-3238</t>
  </si>
  <si>
    <t>06-P-10473/10474</t>
  </si>
  <si>
    <t>2-P-3892</t>
  </si>
  <si>
    <t>06-P-9871/9872</t>
  </si>
  <si>
    <t>6-P-5005</t>
  </si>
  <si>
    <t>01-C-8271</t>
  </si>
  <si>
    <t>6-P-0217</t>
  </si>
  <si>
    <t>01-C-8295</t>
  </si>
  <si>
    <t>4-P-0879</t>
  </si>
  <si>
    <t>01-C-8334</t>
  </si>
  <si>
    <t>4-P-1405</t>
  </si>
  <si>
    <t>01-C-8289</t>
  </si>
  <si>
    <t>6-P-1199</t>
  </si>
  <si>
    <t>01-C-8260</t>
  </si>
  <si>
    <t>2-P-2761</t>
  </si>
  <si>
    <t>06-P-10899</t>
  </si>
  <si>
    <t>6-P-2695</t>
  </si>
  <si>
    <t>01-C-8322</t>
  </si>
  <si>
    <t>2-P-10406</t>
  </si>
  <si>
    <t>06-P-10737</t>
  </si>
  <si>
    <t>2-P-3547</t>
  </si>
  <si>
    <t>06-P-10669</t>
  </si>
  <si>
    <t>4-P-0841</t>
  </si>
  <si>
    <t>01-C-8398</t>
  </si>
  <si>
    <t>2-P-1897</t>
  </si>
  <si>
    <t>01-C-8444</t>
  </si>
  <si>
    <t>1-P-1087</t>
  </si>
  <si>
    <t>4-P-1431</t>
  </si>
  <si>
    <t>01-C-8435</t>
  </si>
  <si>
    <t>1-P-2922</t>
  </si>
  <si>
    <t>01-C-8574</t>
  </si>
  <si>
    <t>1-C-4290</t>
  </si>
  <si>
    <t>01-C-8441</t>
  </si>
  <si>
    <t>1-P-1875</t>
  </si>
  <si>
    <t>4-C-787/04-C-788</t>
  </si>
  <si>
    <t>2-P-6039</t>
  </si>
  <si>
    <t>01-C-8553</t>
  </si>
  <si>
    <t>4-C-0573/04-C-0574</t>
  </si>
  <si>
    <t>1-P-3653</t>
  </si>
  <si>
    <t>01-C-8704</t>
  </si>
  <si>
    <t>6-P-2269/06-P-2270</t>
  </si>
  <si>
    <t>01-C-8668</t>
  </si>
  <si>
    <t>2-P-5131</t>
  </si>
  <si>
    <t>01-C-8758</t>
  </si>
  <si>
    <t>6-P-1421/06-P-1422</t>
  </si>
  <si>
    <t>01-C-8608</t>
  </si>
  <si>
    <t>6-P-1367/06-P-1368</t>
  </si>
  <si>
    <t>01-C-8638</t>
  </si>
  <si>
    <t>2-P-1708</t>
  </si>
  <si>
    <t>01-C-8844</t>
  </si>
  <si>
    <t>1-P-3593</t>
  </si>
  <si>
    <t>2-P-6877</t>
  </si>
  <si>
    <t>01-C-8686</t>
  </si>
  <si>
    <t>2-P-3368</t>
  </si>
  <si>
    <t>01-C-8650</t>
  </si>
  <si>
    <t>2-P-5753</t>
  </si>
  <si>
    <t>01-C-8705</t>
  </si>
  <si>
    <t>6-P-2835/06-P-2836</t>
  </si>
  <si>
    <t>2-P-0786</t>
  </si>
  <si>
    <t>01-C-8757</t>
  </si>
  <si>
    <t>2-P-2215</t>
  </si>
  <si>
    <t>01-C-8739</t>
  </si>
  <si>
    <t>2-P-12438</t>
  </si>
  <si>
    <t>2-P-12658</t>
  </si>
  <si>
    <t>01-C-8766</t>
  </si>
  <si>
    <t>4-C-2623/04-C-2624</t>
  </si>
  <si>
    <t>4-C-1089/04-C-1090</t>
  </si>
  <si>
    <t>4-C-1123/04-C-1124</t>
  </si>
  <si>
    <t>01-C-8843</t>
  </si>
  <si>
    <t>6-P-4599/06-P-4600</t>
  </si>
  <si>
    <t>01-C-8729</t>
  </si>
  <si>
    <t>6-P-0661/06-P-0662</t>
  </si>
  <si>
    <t>01-C-8856</t>
  </si>
  <si>
    <t>6-P-2983/06-P-2984</t>
  </si>
  <si>
    <t>01-C-8853</t>
  </si>
  <si>
    <t>6-P-11879/06-P-11880</t>
  </si>
  <si>
    <t>6-P-4203/06-P-4204</t>
  </si>
  <si>
    <t>01-C-8878</t>
  </si>
  <si>
    <t>2-P-6674</t>
  </si>
  <si>
    <t>Cash</t>
  </si>
  <si>
    <t>2-P-12657</t>
  </si>
  <si>
    <t>2-P-12552</t>
  </si>
  <si>
    <t>2-P-12048</t>
  </si>
  <si>
    <t>01-C-8967</t>
  </si>
  <si>
    <t>4-C-0629/04-C-0630</t>
  </si>
  <si>
    <t>6-P-1517/06-P-1518</t>
  </si>
  <si>
    <t>2-P-13198</t>
  </si>
  <si>
    <t>2-P-11522</t>
  </si>
  <si>
    <t>2-P-9282</t>
  </si>
  <si>
    <t>01-C-9084</t>
  </si>
  <si>
    <t>2-P-0486</t>
  </si>
  <si>
    <t>01-C-8970</t>
  </si>
  <si>
    <t>1-P-3512</t>
  </si>
  <si>
    <t>01-C-8941</t>
  </si>
  <si>
    <t>6-P-1231/06-P-1232</t>
  </si>
  <si>
    <t>01-C-8992</t>
  </si>
  <si>
    <t>6-P-2195/06-P-2196</t>
  </si>
  <si>
    <t>01-C-8985</t>
  </si>
  <si>
    <t>4-P-0113</t>
  </si>
  <si>
    <t>01-C-8333</t>
  </si>
  <si>
    <t>2-P-1868</t>
  </si>
  <si>
    <t>01-C-9003</t>
  </si>
  <si>
    <t>2-P-7465</t>
  </si>
  <si>
    <t>01-C-8869</t>
  </si>
  <si>
    <t>2-P-2772</t>
  </si>
  <si>
    <t>01-C-9011</t>
  </si>
  <si>
    <t>2-P-10144</t>
  </si>
  <si>
    <t>01-C-8997</t>
  </si>
  <si>
    <t>2-P-5901</t>
  </si>
  <si>
    <t>01-C-9055</t>
  </si>
  <si>
    <t>2-P-10446</t>
  </si>
  <si>
    <t>01-C-9058</t>
  </si>
  <si>
    <t>1-P-2382</t>
  </si>
  <si>
    <t>2-P-7230</t>
  </si>
  <si>
    <t>01-C-9247</t>
  </si>
  <si>
    <t>4-P-153</t>
  </si>
  <si>
    <t>01-C-8606</t>
  </si>
  <si>
    <t>1-C-8778</t>
  </si>
  <si>
    <t>01-C-9233</t>
  </si>
  <si>
    <t>2-P-5941</t>
  </si>
  <si>
    <t>01-C-9114</t>
  </si>
  <si>
    <t>2-P-13454</t>
  </si>
  <si>
    <t>1-C-9253</t>
  </si>
  <si>
    <t>6-P-9521/9522</t>
  </si>
  <si>
    <t>01-C-8870</t>
  </si>
  <si>
    <t>6-P-1577/1578</t>
  </si>
  <si>
    <t>01-C-9353</t>
  </si>
  <si>
    <t>6-P-10129/10130</t>
  </si>
  <si>
    <t>01-C-9254</t>
  </si>
  <si>
    <t>2-P-0124</t>
  </si>
  <si>
    <t>01-C-9213</t>
  </si>
  <si>
    <t>6-P-3237/3238</t>
  </si>
  <si>
    <t>01-C-9226</t>
  </si>
  <si>
    <t>6-P-11117/11118</t>
  </si>
  <si>
    <t>01-C-9236</t>
  </si>
  <si>
    <t>1-C-8588</t>
  </si>
  <si>
    <t xml:space="preserve"> 01-C-9258</t>
  </si>
  <si>
    <t>2-P-13218</t>
  </si>
  <si>
    <t>01-C-9255</t>
  </si>
  <si>
    <t>6-P-4473/4474</t>
  </si>
  <si>
    <t>01-C-9239</t>
  </si>
  <si>
    <t>2-P-6634</t>
  </si>
  <si>
    <t>01-C-9282</t>
  </si>
  <si>
    <t>2-P-7111</t>
  </si>
  <si>
    <t>01-C-9121</t>
  </si>
  <si>
    <t>2-P-11624</t>
  </si>
  <si>
    <t>01-C-9325</t>
  </si>
  <si>
    <t>6-P-9305/9306</t>
  </si>
  <si>
    <t>01-C-9364</t>
  </si>
  <si>
    <t>6-P-4951/4952</t>
  </si>
  <si>
    <t>01-C-9271</t>
  </si>
  <si>
    <t>2-P-13910</t>
  </si>
  <si>
    <t>06-P-15001/15002</t>
  </si>
  <si>
    <t>2-P-15899</t>
  </si>
  <si>
    <t>06-P-15035/15036</t>
  </si>
  <si>
    <t>2-P-11041</t>
  </si>
  <si>
    <t>06-P-16037/16038</t>
  </si>
  <si>
    <t>2-P-12350</t>
  </si>
  <si>
    <t>06-P-16029/16030</t>
  </si>
  <si>
    <t>2-P-16300</t>
  </si>
  <si>
    <t>06-P-15007/15008</t>
  </si>
  <si>
    <t>2-P-16600</t>
  </si>
  <si>
    <t>06-P-15025/15026</t>
  </si>
  <si>
    <t>1-C-8880</t>
  </si>
  <si>
    <t>01-C-9336</t>
  </si>
  <si>
    <t>2-P-18533</t>
  </si>
  <si>
    <t>06-P-14961/14962</t>
  </si>
  <si>
    <t>2-P-13133</t>
  </si>
  <si>
    <t>06-P-16035/16036</t>
  </si>
  <si>
    <t>1-C-8582</t>
  </si>
  <si>
    <t>01-C-9275</t>
  </si>
  <si>
    <t>2-P-15844</t>
  </si>
  <si>
    <t>06-P-16383/16384</t>
  </si>
  <si>
    <t>2-P-18354</t>
  </si>
  <si>
    <t>06-P-14983/14984</t>
  </si>
  <si>
    <t>1-C-8493</t>
  </si>
  <si>
    <t>01-C-9284</t>
  </si>
  <si>
    <t>1-C-8737</t>
  </si>
  <si>
    <t>01-C-9280</t>
  </si>
  <si>
    <t>6-P-10669/06-P-10670</t>
  </si>
  <si>
    <t>01-C-9297</t>
  </si>
  <si>
    <t>2-P-17941</t>
  </si>
  <si>
    <t>06-P-16083/16084</t>
  </si>
  <si>
    <t>2-P-11244</t>
  </si>
  <si>
    <t>06-P-16249/16250</t>
  </si>
  <si>
    <t>2-P-12287</t>
  </si>
  <si>
    <t>06-P-14985/14986</t>
  </si>
  <si>
    <t>2-P-19249</t>
  </si>
  <si>
    <t>06-P-15039/15040</t>
  </si>
  <si>
    <t>6-P-5903/06-P-5904</t>
  </si>
  <si>
    <t>01-C-9326</t>
  </si>
  <si>
    <t>2-P-13104</t>
  </si>
  <si>
    <t>06-P-15077/15078</t>
  </si>
  <si>
    <t>2-P-16328</t>
  </si>
  <si>
    <t>06-P-19295/19296</t>
  </si>
  <si>
    <t>2-P-10486</t>
  </si>
  <si>
    <t>06-P-16333/16334</t>
  </si>
  <si>
    <t>1-C-8695</t>
  </si>
  <si>
    <t>01-C-9303</t>
  </si>
  <si>
    <t>2-P-16977</t>
  </si>
  <si>
    <t>06-P-16031/06-P-16032</t>
  </si>
  <si>
    <t>2-P-19024</t>
  </si>
  <si>
    <t>06-P-16127/06-P-16128</t>
  </si>
  <si>
    <t>6-P-12089/ 06-P-12090</t>
  </si>
  <si>
    <t>01-C-9293</t>
  </si>
  <si>
    <t>2-P-20358</t>
  </si>
  <si>
    <t>06-P-16237/06-P-16238</t>
  </si>
  <si>
    <t>6-P-10201/06-P-10202</t>
  </si>
  <si>
    <t>01-C-9312</t>
  </si>
  <si>
    <t>2-P-19574</t>
  </si>
  <si>
    <t>01-P-3875</t>
  </si>
  <si>
    <t>2-P-4650</t>
  </si>
  <si>
    <t>01-C-9555</t>
  </si>
  <si>
    <t>2-P-14386</t>
  </si>
  <si>
    <t>06-P-16081/16082</t>
  </si>
  <si>
    <t>2-P-14546</t>
  </si>
  <si>
    <t>06-P-16485/16486</t>
  </si>
  <si>
    <t>2-P-18444</t>
  </si>
  <si>
    <t>06-P-19293/19294</t>
  </si>
  <si>
    <t>2-P-13979</t>
  </si>
  <si>
    <t>06-P-16219/16220</t>
  </si>
  <si>
    <t>2-P-12891</t>
  </si>
  <si>
    <t>06-P-16189/16190</t>
  </si>
  <si>
    <t>1-C-8532</t>
  </si>
  <si>
    <t>01-C-9309</t>
  </si>
  <si>
    <t>2-P-13958</t>
  </si>
  <si>
    <t>06-P-16147/16148</t>
  </si>
  <si>
    <t>6-P-11907/06-P-11908</t>
  </si>
  <si>
    <t>01-C-9319</t>
  </si>
  <si>
    <t>6-P-10541/06-P-10542</t>
  </si>
  <si>
    <t>01-C-9424</t>
  </si>
  <si>
    <t>6-P-12203/06-P-12204</t>
  </si>
  <si>
    <t>01-C-9327</t>
  </si>
  <si>
    <t>2-P-14784</t>
  </si>
  <si>
    <t xml:space="preserve"> 06-P-15061/15062</t>
  </si>
  <si>
    <t>6-P-13093/06-P-13094</t>
  </si>
  <si>
    <t>01-C-9344</t>
  </si>
  <si>
    <t>2-P-17656</t>
  </si>
  <si>
    <t>06-P-16289/16290</t>
  </si>
  <si>
    <t>2-P-16393</t>
  </si>
  <si>
    <t>06-P-16983/16984</t>
  </si>
  <si>
    <t>6-P-12625/06-P-12626</t>
  </si>
  <si>
    <t>01-C-9386</t>
  </si>
  <si>
    <t>2-P-14472</t>
  </si>
  <si>
    <t>06-P-16859/16860</t>
  </si>
  <si>
    <t>2-P-1304</t>
  </si>
  <si>
    <t>01-C-9368</t>
  </si>
  <si>
    <t>2-P-13570</t>
  </si>
  <si>
    <t>06-P-16199/16200</t>
  </si>
  <si>
    <t>2-P-13575</t>
  </si>
  <si>
    <t>01-P-3878</t>
  </si>
  <si>
    <t>2-P-17704</t>
  </si>
  <si>
    <t>06-P-16593/16594</t>
  </si>
  <si>
    <t>2-P-17574</t>
  </si>
  <si>
    <t>06-P-16329/16330</t>
  </si>
  <si>
    <t>6-P-5053/06-P-5054</t>
  </si>
  <si>
    <t>01-C-9385</t>
  </si>
  <si>
    <t>4-C-7769/04-C-7770</t>
  </si>
  <si>
    <t>01-C-9365</t>
  </si>
  <si>
    <t>6-P-11203/06-P-11204</t>
  </si>
  <si>
    <t>01-C-9549</t>
  </si>
  <si>
    <t>2-P-17132</t>
  </si>
  <si>
    <t>06-P-16403/06-P-16404</t>
  </si>
  <si>
    <t>6-P-12697/12698</t>
  </si>
  <si>
    <t>01-C-9414</t>
  </si>
  <si>
    <t>4-C-5747/04-C-5748</t>
  </si>
  <si>
    <t>01-C-9540</t>
  </si>
  <si>
    <t>2-P-2867</t>
  </si>
  <si>
    <t>1-C-9594</t>
  </si>
  <si>
    <t>2-P-18282</t>
  </si>
  <si>
    <t>01-C-9431</t>
  </si>
  <si>
    <t>4-C-3949/04-C-3950</t>
  </si>
  <si>
    <t>REO</t>
  </si>
  <si>
    <t>2-P-2717</t>
  </si>
  <si>
    <t>01-C-9587</t>
  </si>
  <si>
    <t>2-P-3190</t>
  </si>
  <si>
    <t>01-C-9345</t>
  </si>
  <si>
    <t>6-P-13285 / 06-P-13286</t>
  </si>
  <si>
    <t>06-P-16671/06-P-16672</t>
  </si>
  <si>
    <t>2-P-21619</t>
  </si>
  <si>
    <t>06-P-16855 / 06-P-16856</t>
  </si>
  <si>
    <t>2-P-5256</t>
  </si>
  <si>
    <t>01-C-9454</t>
  </si>
  <si>
    <t>6-P-933 / 06-P-934</t>
  </si>
  <si>
    <t>01-C-9390</t>
  </si>
  <si>
    <t>6-P-13753 / 06-P-13754</t>
  </si>
  <si>
    <t>06-P-16857 / 06-P-16858</t>
  </si>
  <si>
    <t>6-P-2583/06-P-2584</t>
  </si>
  <si>
    <t>01-C-9458</t>
  </si>
  <si>
    <t>2-P-9265</t>
  </si>
  <si>
    <t>01-C-9615</t>
  </si>
  <si>
    <t>6-P-11997 / 06-P-11998</t>
  </si>
  <si>
    <t>01-C-9531</t>
  </si>
  <si>
    <t>2-P-5954</t>
  </si>
  <si>
    <t>01-C-9460</t>
  </si>
  <si>
    <t>2-P-24639</t>
  </si>
  <si>
    <t>06-P-16547 / 06-P-16548</t>
  </si>
  <si>
    <t>4-C-5281 / 5282</t>
  </si>
  <si>
    <t>01-C-9477</t>
  </si>
  <si>
    <t>2-P-12359</t>
  </si>
  <si>
    <t>06-P-16453 / 06-P-16544</t>
  </si>
  <si>
    <t>1-C-8624</t>
  </si>
  <si>
    <t>01-C-9517</t>
  </si>
  <si>
    <t>4-C-8673 / 04-C-8674</t>
  </si>
  <si>
    <t>01-C-9443</t>
  </si>
  <si>
    <t>2-P-21877</t>
  </si>
  <si>
    <t>06-P-16585 / 06-P-16586</t>
  </si>
  <si>
    <t>2-P-24725</t>
  </si>
  <si>
    <t>06-P-17053 / 06-P-17054</t>
  </si>
  <si>
    <t>2-P-22960</t>
  </si>
  <si>
    <t>06-P-16545 /  06-P-16546</t>
  </si>
  <si>
    <t>2-P-10261</t>
  </si>
  <si>
    <t>06-P-16739/06-P-16740</t>
  </si>
  <si>
    <t>2-P-16344</t>
  </si>
  <si>
    <t>06-P-16459 /06-P-16460</t>
  </si>
  <si>
    <t>1-C-8915</t>
  </si>
  <si>
    <t>01-C-9564</t>
  </si>
  <si>
    <t>2-P-20002</t>
  </si>
  <si>
    <t>06-P-16591 / 06-P-16592</t>
  </si>
  <si>
    <t>6-P-14277 / 06-P-14278</t>
  </si>
  <si>
    <t>06-P-16801 / 06-P-16802</t>
  </si>
  <si>
    <t>2-P-18628</t>
  </si>
  <si>
    <t>06-P-16757/16758</t>
  </si>
  <si>
    <t>2-P-16762</t>
  </si>
  <si>
    <t>06-P-16669/06-P-16670</t>
  </si>
  <si>
    <t>2-P-19917</t>
  </si>
  <si>
    <t>06-P-16659/06-P-16660</t>
  </si>
  <si>
    <t>6-P-11603 / 06-P-11604</t>
  </si>
  <si>
    <t>2-P-14789</t>
  </si>
  <si>
    <t>2-P-17802</t>
  </si>
  <si>
    <t>06-P-17013/06-P-17014</t>
  </si>
  <si>
    <t>2-P-12704</t>
  </si>
  <si>
    <t>06-P-16717 / 06-P-16718</t>
  </si>
  <si>
    <t>2-P-19418</t>
  </si>
  <si>
    <t>06-P-17001/17002</t>
  </si>
  <si>
    <t>2-P-22175</t>
  </si>
  <si>
    <t>06-P-16707 / 06-P-16708</t>
  </si>
  <si>
    <t>2-P-20745</t>
  </si>
  <si>
    <t>06-P-16929/16930</t>
  </si>
  <si>
    <t>1-C-8859</t>
  </si>
  <si>
    <t>2-P-11307</t>
  </si>
  <si>
    <t>06-P-16599 / 06-P-16600</t>
  </si>
  <si>
    <t>2-P-25650</t>
  </si>
  <si>
    <t>4-C-5565 / 4-C-5566</t>
  </si>
  <si>
    <t>01-C-9579</t>
  </si>
  <si>
    <t>6-P-10195 /  6-P-10196</t>
  </si>
  <si>
    <t>2-P-21460</t>
  </si>
  <si>
    <t>06-P-16931 / 06-P-16932</t>
  </si>
  <si>
    <t>2-P-26583</t>
  </si>
  <si>
    <t>06-P-16703 / 06-P-16704</t>
  </si>
  <si>
    <t>6-P-11291 / 6-P-11292</t>
  </si>
  <si>
    <t>01-C-9503</t>
  </si>
  <si>
    <t>2-P-12947</t>
  </si>
  <si>
    <t>01-C-9481</t>
  </si>
  <si>
    <t>2-P-14718</t>
  </si>
  <si>
    <t>06-P-16787 / 06-P-16788</t>
  </si>
  <si>
    <t>2-P-28015</t>
  </si>
  <si>
    <t>06-P-16977 / 06-P-16978</t>
  </si>
  <si>
    <t>2-P-13512</t>
  </si>
  <si>
    <t>06-P-16711 / 06-P-16712</t>
  </si>
  <si>
    <t>6-P-13607 / 6-P-13608</t>
  </si>
  <si>
    <t>06-P-16895 / 06-P-16896</t>
  </si>
  <si>
    <t>1-C-8914</t>
  </si>
  <si>
    <t>2-P-18531</t>
  </si>
  <si>
    <t>06-P-16933 / 06-P-16934</t>
  </si>
  <si>
    <t>4-C-8711 / 04-C-8712</t>
  </si>
  <si>
    <t>01-C-9539</t>
  </si>
  <si>
    <t>6-P-12201 / 6-P-12202</t>
  </si>
  <si>
    <t>01-C-9548</t>
  </si>
  <si>
    <t>2-P-11153</t>
  </si>
  <si>
    <t>06-P-16721/06-P-16722</t>
  </si>
  <si>
    <t>2-P-9798</t>
  </si>
  <si>
    <t>06-P-16971</t>
  </si>
  <si>
    <t>-</t>
  </si>
  <si>
    <t>1-C-9288</t>
  </si>
  <si>
    <t>6-P-12209 / 6-P-12210</t>
  </si>
  <si>
    <t>01-C-9554</t>
  </si>
  <si>
    <t>4-C-8855 / 4-C-8856</t>
  </si>
  <si>
    <t>01-C-9609</t>
  </si>
  <si>
    <t>2-P-17367</t>
  </si>
  <si>
    <t>06-P-16909 / 06-P-16910</t>
  </si>
  <si>
    <t>6-P-14743 / 6-P-14744</t>
  </si>
  <si>
    <t>06-P-17081 / 06-P-17082</t>
  </si>
  <si>
    <t>2-P-20805</t>
  </si>
  <si>
    <t>06-P-17095 / 17096</t>
  </si>
  <si>
    <t>4-C-8659 / 04-C-8660</t>
  </si>
  <si>
    <t>01-C-9508</t>
  </si>
  <si>
    <t>2-P-19876</t>
  </si>
  <si>
    <t>06-P-16967 / 06-P-16968</t>
  </si>
  <si>
    <t>2-P-14516</t>
  </si>
  <si>
    <t>06-P-16755 / 06-P-16756</t>
  </si>
  <si>
    <t>2-P-27374</t>
  </si>
  <si>
    <t>06-P-16795 / 06-P-16796</t>
  </si>
  <si>
    <t>6-P-14085/ 06-P-14086</t>
  </si>
  <si>
    <t>06-P-16745 / 06-P-16746</t>
  </si>
  <si>
    <t>4-C-4527 / 4-C-4528</t>
  </si>
  <si>
    <t>1-C-9638</t>
  </si>
  <si>
    <t>2-P-23434</t>
  </si>
  <si>
    <t>06-P-17017 / 06-P-17018</t>
  </si>
  <si>
    <t>2-P-20913</t>
  </si>
  <si>
    <t>06-P-17087 / 17088</t>
  </si>
  <si>
    <t>6-P-16127 / 06-P-16128</t>
  </si>
  <si>
    <t>6-P-17099 / 06-P-17100</t>
  </si>
  <si>
    <t>2-P-23194</t>
  </si>
  <si>
    <t>06-P-17059 / 06-P-17060</t>
  </si>
  <si>
    <t>2-P-22999</t>
  </si>
  <si>
    <t>06-P-16853 / 06-P-16854</t>
  </si>
  <si>
    <t>1-C-9247</t>
  </si>
  <si>
    <t>01-C-9624</t>
  </si>
  <si>
    <t>2-P-23887</t>
  </si>
  <si>
    <t>06-P-16845 / 06-P-16846</t>
  </si>
  <si>
    <t>2-P-24406</t>
  </si>
  <si>
    <t>06-P-16819 / 06-P-16820</t>
  </si>
  <si>
    <t>2-P-24221</t>
  </si>
  <si>
    <t>06-P-16849 / 06-P-16850</t>
  </si>
  <si>
    <t>2-P-28917</t>
  </si>
  <si>
    <t>06-P-16911 / 06-P-16912</t>
  </si>
  <si>
    <t>1-C-8879</t>
  </si>
  <si>
    <t>01-C-9553</t>
  </si>
  <si>
    <t>2-P-23198</t>
  </si>
  <si>
    <t>06-P-17121 / 06-P-17122</t>
  </si>
  <si>
    <t>6-P-9703 / 9704</t>
  </si>
  <si>
    <t>01-C-9631</t>
  </si>
  <si>
    <t>2-P-14963</t>
  </si>
  <si>
    <t>06-P-1693516939</t>
  </si>
  <si>
    <t>2-P-20116</t>
  </si>
  <si>
    <t>06-P-16775 / 06-P-16776</t>
  </si>
  <si>
    <t>6-P-013519/013520</t>
  </si>
  <si>
    <t>06-P-17039 / 06-P-17040</t>
  </si>
  <si>
    <t>2-P-20393</t>
  </si>
  <si>
    <t>06-P-17057 / 06-P-17058</t>
  </si>
  <si>
    <t>2-P-1090</t>
  </si>
  <si>
    <t>01-C-9694</t>
  </si>
  <si>
    <t>2-P-5374</t>
  </si>
  <si>
    <t>01-C-9611</t>
  </si>
  <si>
    <t>2-P-20616</t>
  </si>
  <si>
    <t>06-P-17079</t>
  </si>
  <si>
    <t>2-P-23252</t>
  </si>
  <si>
    <t>6-P-17137 / 6-P-17138</t>
  </si>
  <si>
    <t>2-P-14158</t>
  </si>
  <si>
    <t>06-P-16941/16942</t>
  </si>
  <si>
    <t>6-P-12285</t>
  </si>
  <si>
    <t>06-P-17093 / 17094</t>
  </si>
  <si>
    <t>2-P-23073</t>
  </si>
  <si>
    <t>06-P-16865/06-P-16866</t>
  </si>
  <si>
    <t>2-P-24713</t>
  </si>
  <si>
    <t>6-P-17205 / 6-P-17206</t>
  </si>
  <si>
    <t>2-P-8858</t>
  </si>
  <si>
    <t>01-C-9589</t>
  </si>
  <si>
    <t>2-P-10649</t>
  </si>
  <si>
    <t>06-P-17025 / 06-P-17026</t>
  </si>
  <si>
    <t>4-C-5229 / 4-C-5230</t>
  </si>
  <si>
    <t>1-C-9637</t>
  </si>
  <si>
    <t>2-P-21837</t>
  </si>
  <si>
    <t>06-P-17115 / 06-P-17116</t>
  </si>
  <si>
    <t>2-P-18420</t>
  </si>
  <si>
    <t>06-P-17419</t>
  </si>
  <si>
    <t>2-P-20413</t>
  </si>
  <si>
    <t>6-P-17157 / 6-P-17158</t>
  </si>
  <si>
    <t>2-P-23312</t>
  </si>
  <si>
    <t>06-P-16903 / 06-P-16904</t>
  </si>
  <si>
    <t>4-C-6871</t>
  </si>
  <si>
    <t>2-P-16048</t>
  </si>
  <si>
    <t>06-P-16863 / 06-P-16864</t>
  </si>
  <si>
    <t>2-P-24032</t>
  </si>
  <si>
    <t>06-P-17097 / 17098</t>
  </si>
  <si>
    <t>2-P-27178</t>
  </si>
  <si>
    <t>2-P-24058</t>
  </si>
  <si>
    <t>06-P-17185</t>
  </si>
  <si>
    <t>2-P-14061</t>
  </si>
  <si>
    <t>06-P-17133 / 06-P-17134</t>
  </si>
  <si>
    <t>1-C-9079</t>
  </si>
  <si>
    <t>1-C-9622</t>
  </si>
  <si>
    <t>6-P-12727/12728</t>
  </si>
  <si>
    <t>6-P-17251 / 6-P-17252</t>
  </si>
  <si>
    <t>2-P-25453</t>
  </si>
  <si>
    <t>01-P-3898</t>
  </si>
  <si>
    <t>2-P-10046</t>
  </si>
  <si>
    <t>06-P-17125 / 06-P-17126</t>
  </si>
  <si>
    <t>1-C-8858</t>
  </si>
  <si>
    <t>4-C-8445</t>
  </si>
  <si>
    <t>01-C-9636</t>
  </si>
  <si>
    <t>6-P-9775</t>
  </si>
  <si>
    <t>2-P-23089</t>
  </si>
  <si>
    <t>06-P-17201 / 06-P-17202</t>
  </si>
  <si>
    <t>2-P-2107</t>
  </si>
  <si>
    <t>6-P-11743/11744</t>
  </si>
  <si>
    <t>8-P-111052</t>
  </si>
  <si>
    <t>2-P-22752</t>
  </si>
  <si>
    <t>06-P-17329/06-P-17330</t>
  </si>
  <si>
    <t>2-P-19410</t>
  </si>
  <si>
    <t>6-P-17521</t>
  </si>
  <si>
    <t>2-P-18340</t>
  </si>
  <si>
    <t>2-P-17154</t>
  </si>
  <si>
    <t>06-P-17427</t>
  </si>
  <si>
    <t>1-C-8966</t>
  </si>
  <si>
    <t>2-P-16497</t>
  </si>
  <si>
    <t>2-P-15943</t>
  </si>
  <si>
    <t>2-P-20203</t>
  </si>
  <si>
    <t>1-C-9003</t>
  </si>
  <si>
    <t>2-P-22724</t>
  </si>
  <si>
    <t>04-C-8433/8434</t>
  </si>
  <si>
    <t>2-P-15653</t>
  </si>
  <si>
    <t>2-P-22768</t>
  </si>
  <si>
    <t>6-P-17513</t>
  </si>
  <si>
    <t>2-P-24402</t>
  </si>
  <si>
    <t>4-C-6413/6414</t>
  </si>
  <si>
    <t>2-P-22574</t>
  </si>
  <si>
    <t>2-P-23138</t>
  </si>
  <si>
    <t>2-P-20688</t>
  </si>
  <si>
    <t xml:space="preserve">   Weighted Average</t>
  </si>
  <si>
    <t>$</t>
  </si>
  <si>
    <t>#</t>
  </si>
  <si>
    <t>%  /  $</t>
  </si>
  <si>
    <t>% / #</t>
  </si>
  <si>
    <t>Average Months to Recovery*</t>
  </si>
  <si>
    <t>% Loss*</t>
  </si>
  <si>
    <t>% Recovery*</t>
  </si>
  <si>
    <t>Totals</t>
  </si>
  <si>
    <t>Total de Casos</t>
  </si>
  <si>
    <t>Casos Resueltos</t>
  </si>
  <si>
    <t xml:space="preserve">Columnas de trabajo para el cálculo de Seguros e Interes </t>
  </si>
  <si>
    <t xml:space="preserve">  Porcentaje de Casos Resueltos que Son LetalesCasos Resueltos:  </t>
  </si>
  <si>
    <t xml:space="preserve">           Porcentaje de de Daciones en Pago de los Casos Resueltos:  </t>
  </si>
  <si>
    <t xml:space="preserve">Porcentaje de Costos Legales y Reparaciones en Casos Resueltos:  </t>
  </si>
  <si>
    <r>
      <rPr>
        <b/>
        <sz val="10"/>
        <color theme="1"/>
        <rFont val="Arial"/>
      </rPr>
      <t xml:space="preserve">Legal Foreclosure = </t>
    </r>
    <r>
      <rPr>
        <b/>
        <sz val="10"/>
        <color rgb="FF0000FF"/>
        <rFont val="Arial"/>
      </rPr>
      <t>Remate Legal</t>
    </r>
    <r>
      <rPr>
        <b/>
        <sz val="10"/>
        <color theme="1"/>
        <rFont val="Arial"/>
      </rPr>
      <t xml:space="preserve">,  Deed in Lieu = </t>
    </r>
    <r>
      <rPr>
        <b/>
        <sz val="10"/>
        <color rgb="FF0000FF"/>
        <rFont val="Arial"/>
      </rPr>
      <t>Dación en Pago</t>
    </r>
    <r>
      <rPr>
        <b/>
        <sz val="10"/>
        <color theme="1"/>
        <rFont val="Arial"/>
      </rPr>
      <t>, REO =</t>
    </r>
    <r>
      <rPr>
        <b/>
        <sz val="10"/>
        <color rgb="FF0000FF"/>
        <rFont val="Arial"/>
      </rPr>
      <t xml:space="preserve"> Inventario de Vivienda Reposeida</t>
    </r>
  </si>
  <si>
    <r>
      <rPr>
        <b/>
        <sz val="10"/>
        <color theme="1"/>
        <rFont val="Arial"/>
      </rPr>
      <t xml:space="preserve">*Only includes Legal Forclosures that have been closed and does not includes Legal Forclosures in Process.  </t>
    </r>
    <r>
      <rPr>
        <b/>
        <sz val="10"/>
        <color rgb="FF0000FF"/>
        <rFont val="Arial"/>
      </rPr>
      <t>Meses Promedios solamente incluye Remates Legales resueltos y no casos en proceso de remate.</t>
    </r>
  </si>
  <si>
    <t>Última Actualización: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</si>
</sst>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"/>
    <numFmt numFmtId="165" formatCode="_-* #,##0.00_-;\-* #,##0.00_-;_-* &quot;-&quot;??_-;_-@"/>
    <numFmt numFmtId="166" formatCode="_(* #,##0.00_);_(* \(#,##0.00\);_(* &quot;-&quot;??_);_(@_)"/>
    <numFmt numFmtId="167" formatCode="_(* #,##0_);_(* \(#,##0\);_(* &quot;-&quot;??_);_(@_)"/>
    <numFmt numFmtId="168" formatCode="_ * #,##0.00_ ;_ * \-#,##0.00_ ;_ * &quot;-&quot;??_ ;_ @_ "/>
    <numFmt numFmtId="169" formatCode="_ * #,##0_ ;_ * \-#,##0_ ;_ * &quot;-&quot;??_ ;_ @_ "/>
    <numFmt numFmtId="170" formatCode="dd/mm/yy"/>
    <numFmt numFmtId="171" formatCode="_(* #,##0.0000_);_(* \(#,##0.0000\);_(* &quot;-&quot;??_);_(@_)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Montserrat"/>
    </font>
    <font>
      <b/>
      <sz val="14"/>
      <color theme="1"/>
      <name val="Arial"/>
    </font>
    <font>
      <b/>
      <sz val="14"/>
      <color rgb="FF800000"/>
      <name val="Arial"/>
    </font>
    <font>
      <sz val="10"/>
      <name val="Arial"/>
    </font>
    <font>
      <b/>
      <sz val="10"/>
      <color rgb="FF000000"/>
      <name val="Arial"/>
    </font>
    <font>
      <b/>
      <sz val="10"/>
      <color rgb="FF0000FF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theme="1"/>
      <name val="Arial"/>
    </font>
    <font>
      <sz val="10"/>
      <color rgb="FF3366FF"/>
      <name val="Arial"/>
    </font>
    <font>
      <sz val="10"/>
      <color rgb="FF0000FF"/>
      <name val="Arial"/>
    </font>
    <font>
      <b/>
      <sz val="12"/>
      <color rgb="FF800000"/>
      <name val="Montserrat"/>
    </font>
    <font>
      <b/>
      <sz val="12"/>
      <color rgb="FF0000FF"/>
      <name val="Montserrat"/>
    </font>
    <font>
      <b/>
      <sz val="10"/>
      <color rgb="FF0C26CC"/>
      <name val="Arial"/>
    </font>
    <font>
      <sz val="10"/>
      <color rgb="FF0C26CC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5EBF5"/>
        <bgColor rgb="FFE5EBF5"/>
      </patternFill>
    </fill>
    <fill>
      <patternFill patternType="solid">
        <fgColor theme="0"/>
        <bgColor theme="0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10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10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0" fontId="1" fillId="3" borderId="14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 wrapText="1"/>
    </xf>
    <xf numFmtId="166" fontId="1" fillId="2" borderId="20" xfId="0" applyNumberFormat="1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center" wrapText="1"/>
    </xf>
    <xf numFmtId="17" fontId="1" fillId="2" borderId="20" xfId="0" applyNumberFormat="1" applyFont="1" applyFill="1" applyBorder="1" applyAlignment="1">
      <alignment horizontal="center" wrapText="1"/>
    </xf>
    <xf numFmtId="1" fontId="1" fillId="2" borderId="20" xfId="0" applyNumberFormat="1" applyFont="1" applyFill="1" applyBorder="1" applyAlignment="1">
      <alignment horizontal="center" wrapText="1"/>
    </xf>
    <xf numFmtId="167" fontId="1" fillId="2" borderId="20" xfId="0" applyNumberFormat="1" applyFont="1" applyFill="1" applyBorder="1" applyAlignment="1">
      <alignment horizontal="right" wrapText="1"/>
    </xf>
    <xf numFmtId="167" fontId="1" fillId="2" borderId="20" xfId="0" applyNumberFormat="1" applyFont="1" applyFill="1" applyBorder="1"/>
    <xf numFmtId="10" fontId="1" fillId="2" borderId="20" xfId="0" applyNumberFormat="1" applyFont="1" applyFill="1" applyBorder="1" applyAlignment="1">
      <alignment horizontal="right"/>
    </xf>
    <xf numFmtId="10" fontId="1" fillId="2" borderId="15" xfId="0" applyNumberFormat="1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10" fontId="1" fillId="3" borderId="22" xfId="0" applyNumberFormat="1" applyFont="1" applyFill="1" applyBorder="1"/>
    <xf numFmtId="2" fontId="1" fillId="3" borderId="22" xfId="0" applyNumberFormat="1" applyFont="1" applyFill="1" applyBorder="1"/>
    <xf numFmtId="0" fontId="1" fillId="3" borderId="22" xfId="0" applyFont="1" applyFill="1" applyBorder="1" applyAlignment="1">
      <alignment horizontal="right"/>
    </xf>
    <xf numFmtId="4" fontId="1" fillId="3" borderId="22" xfId="0" applyNumberFormat="1" applyFont="1" applyFill="1" applyBorder="1"/>
    <xf numFmtId="164" fontId="1" fillId="3" borderId="22" xfId="0" applyNumberFormat="1" applyFont="1" applyFill="1" applyBorder="1"/>
    <xf numFmtId="164" fontId="2" fillId="3" borderId="23" xfId="0" applyNumberFormat="1" applyFont="1" applyFill="1" applyBorder="1"/>
    <xf numFmtId="0" fontId="1" fillId="0" borderId="24" xfId="0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8" fontId="1" fillId="0" borderId="0" xfId="0" applyNumberFormat="1" applyFont="1"/>
    <xf numFmtId="169" fontId="1" fillId="0" borderId="0" xfId="0" applyNumberFormat="1" applyFont="1"/>
    <xf numFmtId="10" fontId="1" fillId="0" borderId="25" xfId="0" applyNumberFormat="1" applyFont="1" applyBorder="1"/>
    <xf numFmtId="1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8" fontId="1" fillId="0" borderId="26" xfId="0" applyNumberFormat="1" applyFont="1" applyBorder="1"/>
    <xf numFmtId="168" fontId="1" fillId="0" borderId="27" xfId="0" applyNumberFormat="1" applyFont="1" applyBorder="1"/>
    <xf numFmtId="10" fontId="1" fillId="0" borderId="27" xfId="0" applyNumberFormat="1" applyFont="1" applyBorder="1"/>
    <xf numFmtId="10" fontId="1" fillId="0" borderId="28" xfId="0" applyNumberFormat="1" applyFont="1" applyBorder="1"/>
    <xf numFmtId="0" fontId="1" fillId="0" borderId="29" xfId="0" applyFont="1" applyBorder="1" applyAlignment="1">
      <alignment horizontal="center"/>
    </xf>
    <xf numFmtId="0" fontId="1" fillId="2" borderId="20" xfId="0" applyFont="1" applyFill="1" applyBorder="1"/>
    <xf numFmtId="0" fontId="2" fillId="3" borderId="22" xfId="0" applyFont="1" applyFill="1" applyBorder="1"/>
    <xf numFmtId="9" fontId="1" fillId="3" borderId="22" xfId="0" applyNumberFormat="1" applyFont="1" applyFill="1" applyBorder="1"/>
    <xf numFmtId="3" fontId="1" fillId="2" borderId="20" xfId="0" applyNumberFormat="1" applyFont="1" applyFill="1" applyBorder="1"/>
    <xf numFmtId="0" fontId="1" fillId="2" borderId="13" xfId="0" applyFont="1" applyFill="1" applyBorder="1"/>
    <xf numFmtId="0" fontId="1" fillId="2" borderId="20" xfId="0" applyFont="1" applyFill="1" applyBorder="1" applyAlignment="1">
      <alignment wrapText="1"/>
    </xf>
    <xf numFmtId="0" fontId="1" fillId="0" borderId="20" xfId="0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67" fontId="1" fillId="2" borderId="20" xfId="0" applyNumberFormat="1" applyFont="1" applyFill="1" applyBorder="1" applyAlignment="1">
      <alignment horizontal="right"/>
    </xf>
    <xf numFmtId="164" fontId="1" fillId="3" borderId="23" xfId="0" applyNumberFormat="1" applyFont="1" applyFill="1" applyBorder="1"/>
    <xf numFmtId="168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0" fontId="1" fillId="0" borderId="25" xfId="0" applyNumberFormat="1" applyFont="1" applyBorder="1" applyAlignment="1">
      <alignment horizontal="right"/>
    </xf>
    <xf numFmtId="168" fontId="1" fillId="0" borderId="26" xfId="0" applyNumberFormat="1" applyFont="1" applyBorder="1" applyAlignment="1">
      <alignment horizontal="right"/>
    </xf>
    <xf numFmtId="168" fontId="1" fillId="0" borderId="27" xfId="0" applyNumberFormat="1" applyFont="1" applyBorder="1" applyAlignment="1">
      <alignment horizontal="right"/>
    </xf>
    <xf numFmtId="10" fontId="1" fillId="0" borderId="28" xfId="0" applyNumberFormat="1" applyFont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10" fontId="1" fillId="0" borderId="27" xfId="0" applyNumberFormat="1" applyFont="1" applyBorder="1" applyAlignment="1">
      <alignment horizontal="right"/>
    </xf>
    <xf numFmtId="166" fontId="1" fillId="2" borderId="20" xfId="0" applyNumberFormat="1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right" wrapText="1"/>
    </xf>
    <xf numFmtId="0" fontId="1" fillId="2" borderId="30" xfId="0" applyFont="1" applyFill="1" applyBorder="1" applyAlignment="1">
      <alignment horizontal="center"/>
    </xf>
    <xf numFmtId="10" fontId="1" fillId="2" borderId="31" xfId="0" applyNumberFormat="1" applyFont="1" applyFill="1" applyBorder="1"/>
    <xf numFmtId="0" fontId="1" fillId="4" borderId="32" xfId="0" applyFont="1" applyFill="1" applyBorder="1"/>
    <xf numFmtId="0" fontId="1" fillId="4" borderId="33" xfId="0" applyFont="1" applyFill="1" applyBorder="1"/>
    <xf numFmtId="10" fontId="1" fillId="4" borderId="33" xfId="0" applyNumberFormat="1" applyFont="1" applyFill="1" applyBorder="1"/>
    <xf numFmtId="2" fontId="1" fillId="4" borderId="33" xfId="0" applyNumberFormat="1" applyFont="1" applyFill="1" applyBorder="1"/>
    <xf numFmtId="0" fontId="1" fillId="4" borderId="33" xfId="0" applyFont="1" applyFill="1" applyBorder="1" applyAlignment="1">
      <alignment horizontal="right"/>
    </xf>
    <xf numFmtId="4" fontId="1" fillId="4" borderId="33" xfId="0" applyNumberFormat="1" applyFont="1" applyFill="1" applyBorder="1"/>
    <xf numFmtId="4" fontId="2" fillId="4" borderId="34" xfId="0" applyNumberFormat="1" applyFont="1" applyFill="1" applyBorder="1"/>
    <xf numFmtId="168" fontId="1" fillId="0" borderId="24" xfId="0" applyNumberFormat="1" applyFont="1" applyBorder="1"/>
    <xf numFmtId="0" fontId="1" fillId="4" borderId="13" xfId="0" applyFont="1" applyFill="1" applyBorder="1"/>
    <xf numFmtId="0" fontId="1" fillId="4" borderId="35" xfId="0" applyFont="1" applyFill="1" applyBorder="1"/>
    <xf numFmtId="10" fontId="1" fillId="4" borderId="35" xfId="0" applyNumberFormat="1" applyFont="1" applyFill="1" applyBorder="1"/>
    <xf numFmtId="2" fontId="1" fillId="4" borderId="35" xfId="0" applyNumberFormat="1" applyFont="1" applyFill="1" applyBorder="1"/>
    <xf numFmtId="0" fontId="1" fillId="4" borderId="35" xfId="0" applyFont="1" applyFill="1" applyBorder="1" applyAlignment="1">
      <alignment horizontal="right"/>
    </xf>
    <xf numFmtId="4" fontId="1" fillId="4" borderId="35" xfId="0" applyNumberFormat="1" applyFont="1" applyFill="1" applyBorder="1"/>
    <xf numFmtId="4" fontId="2" fillId="4" borderId="15" xfId="0" applyNumberFormat="1" applyFont="1" applyFill="1" applyBorder="1"/>
    <xf numFmtId="0" fontId="7" fillId="2" borderId="36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166" fontId="9" fillId="2" borderId="36" xfId="0" applyNumberFormat="1" applyFont="1" applyFill="1" applyBorder="1" applyAlignment="1">
      <alignment wrapText="1"/>
    </xf>
    <xf numFmtId="0" fontId="9" fillId="2" borderId="36" xfId="0" applyFont="1" applyFill="1" applyBorder="1" applyAlignment="1">
      <alignment horizontal="right" wrapText="1"/>
    </xf>
    <xf numFmtId="1" fontId="9" fillId="2" borderId="36" xfId="0" applyNumberFormat="1" applyFont="1" applyFill="1" applyBorder="1" applyAlignment="1">
      <alignment horizontal="center" wrapText="1"/>
    </xf>
    <xf numFmtId="170" fontId="9" fillId="2" borderId="36" xfId="0" applyNumberFormat="1" applyFont="1" applyFill="1" applyBorder="1" applyAlignment="1">
      <alignment horizontal="center" wrapText="1"/>
    </xf>
    <xf numFmtId="167" fontId="9" fillId="2" borderId="36" xfId="0" applyNumberFormat="1" applyFont="1" applyFill="1" applyBorder="1" applyAlignment="1">
      <alignment horizontal="right" wrapText="1"/>
    </xf>
    <xf numFmtId="167" fontId="10" fillId="2" borderId="36" xfId="0" applyNumberFormat="1" applyFont="1" applyFill="1" applyBorder="1" applyAlignment="1">
      <alignment horizontal="right" wrapText="1"/>
    </xf>
    <xf numFmtId="167" fontId="1" fillId="2" borderId="36" xfId="0" applyNumberFormat="1" applyFont="1" applyFill="1" applyBorder="1"/>
    <xf numFmtId="167" fontId="11" fillId="2" borderId="36" xfId="0" applyNumberFormat="1" applyFont="1" applyFill="1" applyBorder="1"/>
    <xf numFmtId="168" fontId="1" fillId="0" borderId="25" xfId="0" applyNumberFormat="1" applyFont="1" applyBorder="1"/>
    <xf numFmtId="168" fontId="1" fillId="0" borderId="0" xfId="0" applyNumberFormat="1" applyFont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2" fillId="2" borderId="35" xfId="0" applyFont="1" applyFill="1" applyBorder="1"/>
    <xf numFmtId="0" fontId="1" fillId="2" borderId="35" xfId="0" applyFont="1" applyFill="1" applyBorder="1"/>
    <xf numFmtId="0" fontId="2" fillId="2" borderId="35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right"/>
    </xf>
    <xf numFmtId="0" fontId="1" fillId="2" borderId="15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right"/>
    </xf>
    <xf numFmtId="10" fontId="1" fillId="0" borderId="8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center"/>
    </xf>
    <xf numFmtId="168" fontId="1" fillId="0" borderId="7" xfId="0" applyNumberFormat="1" applyFont="1" applyBorder="1" applyAlignment="1">
      <alignment horizontal="right"/>
    </xf>
    <xf numFmtId="168" fontId="1" fillId="0" borderId="6" xfId="0" applyNumberFormat="1" applyFont="1" applyBorder="1"/>
    <xf numFmtId="168" fontId="1" fillId="0" borderId="7" xfId="0" applyNumberFormat="1" applyFont="1" applyBorder="1"/>
    <xf numFmtId="10" fontId="1" fillId="0" borderId="7" xfId="0" applyNumberFormat="1" applyFont="1" applyBorder="1"/>
    <xf numFmtId="10" fontId="1" fillId="0" borderId="8" xfId="0" applyNumberFormat="1" applyFont="1" applyBorder="1"/>
    <xf numFmtId="0" fontId="1" fillId="0" borderId="16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2" borderId="40" xfId="0" applyFont="1" applyFill="1" applyBorder="1" applyAlignment="1">
      <alignment wrapText="1"/>
    </xf>
    <xf numFmtId="0" fontId="7" fillId="2" borderId="41" xfId="0" applyFont="1" applyFill="1" applyBorder="1" applyAlignment="1">
      <alignment wrapText="1"/>
    </xf>
    <xf numFmtId="166" fontId="1" fillId="2" borderId="41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10" fontId="1" fillId="2" borderId="41" xfId="0" applyNumberFormat="1" applyFont="1" applyFill="1" applyBorder="1" applyAlignment="1">
      <alignment horizontal="center"/>
    </xf>
    <xf numFmtId="1" fontId="1" fillId="2" borderId="41" xfId="0" applyNumberFormat="1" applyFont="1" applyFill="1" applyBorder="1" applyAlignment="1">
      <alignment horizontal="center"/>
    </xf>
    <xf numFmtId="2" fontId="1" fillId="2" borderId="41" xfId="0" applyNumberFormat="1" applyFont="1" applyFill="1" applyBorder="1" applyAlignment="1">
      <alignment horizontal="center"/>
    </xf>
    <xf numFmtId="10" fontId="1" fillId="2" borderId="41" xfId="0" applyNumberFormat="1" applyFont="1" applyFill="1" applyBorder="1" applyAlignment="1">
      <alignment horizontal="right"/>
    </xf>
    <xf numFmtId="10" fontId="1" fillId="2" borderId="42" xfId="0" applyNumberFormat="1" applyFont="1" applyFill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68" fontId="1" fillId="0" borderId="28" xfId="0" applyNumberFormat="1" applyFont="1" applyBorder="1"/>
    <xf numFmtId="0" fontId="1" fillId="2" borderId="3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12" xfId="0" applyFont="1" applyFill="1" applyBorder="1"/>
    <xf numFmtId="166" fontId="1" fillId="2" borderId="12" xfId="0" applyNumberFormat="1" applyFont="1" applyFill="1" applyBorder="1"/>
    <xf numFmtId="0" fontId="1" fillId="2" borderId="12" xfId="0" applyFont="1" applyFill="1" applyBorder="1" applyAlignment="1">
      <alignment horizontal="center"/>
    </xf>
    <xf numFmtId="10" fontId="1" fillId="2" borderId="12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10" fontId="1" fillId="2" borderId="12" xfId="0" applyNumberFormat="1" applyFont="1" applyFill="1" applyBorder="1"/>
    <xf numFmtId="10" fontId="1" fillId="2" borderId="5" xfId="0" applyNumberFormat="1" applyFont="1" applyFill="1" applyBorder="1"/>
    <xf numFmtId="0" fontId="2" fillId="2" borderId="43" xfId="0" applyFont="1" applyFill="1" applyBorder="1"/>
    <xf numFmtId="0" fontId="2" fillId="2" borderId="39" xfId="0" applyFont="1" applyFill="1" applyBorder="1"/>
    <xf numFmtId="166" fontId="1" fillId="2" borderId="39" xfId="0" applyNumberFormat="1" applyFont="1" applyFill="1" applyBorder="1"/>
    <xf numFmtId="0" fontId="1" fillId="2" borderId="39" xfId="0" applyFont="1" applyFill="1" applyBorder="1" applyAlignment="1">
      <alignment horizontal="center"/>
    </xf>
    <xf numFmtId="10" fontId="1" fillId="2" borderId="39" xfId="0" applyNumberFormat="1" applyFont="1" applyFill="1" applyBorder="1" applyAlignment="1">
      <alignment horizontal="center"/>
    </xf>
    <xf numFmtId="1" fontId="1" fillId="2" borderId="39" xfId="0" applyNumberFormat="1" applyFont="1" applyFill="1" applyBorder="1" applyAlignment="1">
      <alignment horizontal="center"/>
    </xf>
    <xf numFmtId="2" fontId="1" fillId="2" borderId="39" xfId="0" applyNumberFormat="1" applyFont="1" applyFill="1" applyBorder="1" applyAlignment="1">
      <alignment horizontal="center"/>
    </xf>
    <xf numFmtId="10" fontId="1" fillId="2" borderId="39" xfId="0" applyNumberFormat="1" applyFont="1" applyFill="1" applyBorder="1"/>
    <xf numFmtId="10" fontId="1" fillId="2" borderId="44" xfId="0" applyNumberFormat="1" applyFont="1" applyFill="1" applyBorder="1"/>
    <xf numFmtId="0" fontId="1" fillId="3" borderId="13" xfId="0" applyFont="1" applyFill="1" applyBorder="1"/>
    <xf numFmtId="0" fontId="1" fillId="3" borderId="35" xfId="0" applyFont="1" applyFill="1" applyBorder="1"/>
    <xf numFmtId="10" fontId="1" fillId="3" borderId="35" xfId="0" applyNumberFormat="1" applyFont="1" applyFill="1" applyBorder="1"/>
    <xf numFmtId="2" fontId="1" fillId="3" borderId="35" xfId="0" applyNumberFormat="1" applyFont="1" applyFill="1" applyBorder="1"/>
    <xf numFmtId="0" fontId="1" fillId="3" borderId="35" xfId="0" applyFont="1" applyFill="1" applyBorder="1" applyAlignment="1">
      <alignment horizontal="right"/>
    </xf>
    <xf numFmtId="4" fontId="1" fillId="3" borderId="35" xfId="0" applyNumberFormat="1" applyFont="1" applyFill="1" applyBorder="1"/>
    <xf numFmtId="4" fontId="2" fillId="3" borderId="15" xfId="0" applyNumberFormat="1" applyFont="1" applyFill="1" applyBorder="1"/>
    <xf numFmtId="0" fontId="1" fillId="2" borderId="35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right"/>
    </xf>
    <xf numFmtId="168" fontId="1" fillId="2" borderId="35" xfId="0" applyNumberFormat="1" applyFont="1" applyFill="1" applyBorder="1"/>
    <xf numFmtId="10" fontId="1" fillId="2" borderId="35" xfId="0" applyNumberFormat="1" applyFont="1" applyFill="1" applyBorder="1"/>
    <xf numFmtId="168" fontId="1" fillId="2" borderId="15" xfId="0" applyNumberFormat="1" applyFont="1" applyFill="1" applyBorder="1"/>
    <xf numFmtId="168" fontId="1" fillId="2" borderId="13" xfId="0" applyNumberFormat="1" applyFont="1" applyFill="1" applyBorder="1"/>
    <xf numFmtId="168" fontId="1" fillId="2" borderId="3" xfId="0" applyNumberFormat="1" applyFont="1" applyFill="1" applyBorder="1"/>
    <xf numFmtId="0" fontId="2" fillId="2" borderId="40" xfId="0" applyFont="1" applyFill="1" applyBorder="1"/>
    <xf numFmtId="0" fontId="1" fillId="2" borderId="39" xfId="0" applyFont="1" applyFill="1" applyBorder="1"/>
    <xf numFmtId="0" fontId="1" fillId="2" borderId="44" xfId="0" applyFont="1" applyFill="1" applyBorder="1" applyAlignment="1">
      <alignment horizontal="center"/>
    </xf>
    <xf numFmtId="0" fontId="1" fillId="3" borderId="43" xfId="0" applyFont="1" applyFill="1" applyBorder="1"/>
    <xf numFmtId="0" fontId="1" fillId="3" borderId="39" xfId="0" applyFont="1" applyFill="1" applyBorder="1"/>
    <xf numFmtId="10" fontId="1" fillId="3" borderId="39" xfId="0" applyNumberFormat="1" applyFont="1" applyFill="1" applyBorder="1"/>
    <xf numFmtId="2" fontId="1" fillId="3" borderId="39" xfId="0" applyNumberFormat="1" applyFont="1" applyFill="1" applyBorder="1"/>
    <xf numFmtId="0" fontId="1" fillId="3" borderId="39" xfId="0" applyFont="1" applyFill="1" applyBorder="1" applyAlignment="1">
      <alignment horizontal="right"/>
    </xf>
    <xf numFmtId="4" fontId="1" fillId="3" borderId="39" xfId="0" applyNumberFormat="1" applyFont="1" applyFill="1" applyBorder="1"/>
    <xf numFmtId="4" fontId="2" fillId="3" borderId="44" xfId="0" applyNumberFormat="1" applyFont="1" applyFill="1" applyBorder="1"/>
    <xf numFmtId="0" fontId="1" fillId="2" borderId="43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right"/>
    </xf>
    <xf numFmtId="168" fontId="1" fillId="2" borderId="39" xfId="0" applyNumberFormat="1" applyFont="1" applyFill="1" applyBorder="1"/>
    <xf numFmtId="168" fontId="1" fillId="2" borderId="44" xfId="0" applyNumberFormat="1" applyFont="1" applyFill="1" applyBorder="1"/>
    <xf numFmtId="168" fontId="1" fillId="2" borderId="39" xfId="0" applyNumberFormat="1" applyFont="1" applyFill="1" applyBorder="1" applyAlignment="1">
      <alignment horizontal="center"/>
    </xf>
    <xf numFmtId="168" fontId="1" fillId="2" borderId="43" xfId="0" applyNumberFormat="1" applyFont="1" applyFill="1" applyBorder="1"/>
    <xf numFmtId="168" fontId="1" fillId="2" borderId="14" xfId="0" applyNumberFormat="1" applyFont="1" applyFill="1" applyBorder="1"/>
    <xf numFmtId="0" fontId="2" fillId="0" borderId="0" xfId="0" applyFont="1"/>
    <xf numFmtId="171" fontId="1" fillId="0" borderId="0" xfId="0" applyNumberFormat="1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2" fillId="3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10" fontId="2" fillId="2" borderId="37" xfId="0" applyNumberFormat="1" applyFont="1" applyFill="1" applyBorder="1" applyAlignment="1">
      <alignment horizontal="center"/>
    </xf>
    <xf numFmtId="0" fontId="6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0</xdr:rowOff>
    </xdr:from>
    <xdr:ext cx="1247775" cy="9239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08"/>
  <sheetViews>
    <sheetView showGridLines="0" tabSelected="1" workbookViewId="0">
      <pane ySplit="6" topLeftCell="A7" activePane="bottomLeft" state="frozen"/>
      <selection pane="bottomLeft" activeCell="D10" sqref="D10"/>
    </sheetView>
  </sheetViews>
  <sheetFormatPr baseColWidth="10" defaultColWidth="12.5703125" defaultRowHeight="15" customHeight="1" x14ac:dyDescent="0.2"/>
  <cols>
    <col min="1" max="1" width="4.7109375" customWidth="1"/>
    <col min="2" max="2" width="21.42578125" customWidth="1"/>
    <col min="3" max="3" width="15.140625" customWidth="1"/>
    <col min="4" max="4" width="17.7109375" customWidth="1"/>
    <col min="5" max="5" width="18.5703125" customWidth="1"/>
    <col min="6" max="6" width="21.42578125" customWidth="1"/>
    <col min="7" max="7" width="18.42578125" customWidth="1"/>
    <col min="8" max="8" width="14.42578125" customWidth="1"/>
    <col min="9" max="9" width="15" customWidth="1"/>
    <col min="10" max="10" width="17.7109375" customWidth="1"/>
    <col min="11" max="11" width="20.85546875" customWidth="1"/>
    <col min="12" max="12" width="16.28515625" customWidth="1"/>
    <col min="13" max="13" width="20.85546875" customWidth="1"/>
    <col min="14" max="14" width="13.5703125" customWidth="1"/>
    <col min="15" max="15" width="17.5703125" customWidth="1"/>
    <col min="16" max="16" width="16.140625" customWidth="1"/>
    <col min="17" max="17" width="12.5703125" customWidth="1"/>
    <col min="18" max="18" width="13.5703125" customWidth="1"/>
    <col min="19" max="19" width="15.85546875" customWidth="1"/>
    <col min="20" max="20" width="4.5703125" customWidth="1"/>
    <col min="21" max="21" width="4.140625" customWidth="1"/>
    <col min="22" max="22" width="11.140625" hidden="1" customWidth="1"/>
    <col min="23" max="23" width="10.5703125" hidden="1" customWidth="1"/>
    <col min="24" max="24" width="11" hidden="1" customWidth="1"/>
    <col min="25" max="25" width="10.140625" hidden="1" customWidth="1"/>
    <col min="26" max="26" width="10.5703125" hidden="1" customWidth="1"/>
    <col min="27" max="27" width="10.28515625" hidden="1" customWidth="1"/>
    <col min="28" max="28" width="12.140625" hidden="1" customWidth="1"/>
    <col min="29" max="29" width="11.42578125" hidden="1" customWidth="1"/>
    <col min="30" max="30" width="10.42578125" hidden="1" customWidth="1"/>
    <col min="31" max="31" width="11.140625" hidden="1" customWidth="1"/>
    <col min="32" max="32" width="11.28515625" hidden="1" customWidth="1"/>
    <col min="33" max="33" width="9.5703125" hidden="1" customWidth="1"/>
    <col min="34" max="34" width="10.7109375" hidden="1" customWidth="1"/>
    <col min="35" max="35" width="11" hidden="1" customWidth="1"/>
    <col min="36" max="36" width="9.85546875" hidden="1" customWidth="1"/>
    <col min="37" max="37" width="12" hidden="1" customWidth="1"/>
    <col min="38" max="38" width="14.42578125" hidden="1" customWidth="1"/>
    <col min="39" max="39" width="7.42578125" hidden="1" customWidth="1"/>
    <col min="40" max="40" width="10.7109375" hidden="1" customWidth="1"/>
    <col min="41" max="41" width="2.5703125" hidden="1" customWidth="1"/>
    <col min="42" max="42" width="12.7109375" hidden="1" customWidth="1"/>
    <col min="43" max="43" width="11" hidden="1" customWidth="1"/>
    <col min="44" max="45" width="12.42578125" hidden="1" customWidth="1"/>
    <col min="46" max="46" width="11.85546875" hidden="1" customWidth="1"/>
    <col min="47" max="47" width="13" hidden="1" customWidth="1"/>
    <col min="48" max="49" width="11.85546875" hidden="1" customWidth="1"/>
    <col min="50" max="50" width="5.7109375" hidden="1" customWidth="1"/>
    <col min="51" max="51" width="12.7109375" hidden="1" customWidth="1"/>
    <col min="52" max="52" width="10.5703125" hidden="1" customWidth="1"/>
    <col min="53" max="54" width="12.42578125" hidden="1" customWidth="1"/>
    <col min="55" max="55" width="13" hidden="1" customWidth="1"/>
    <col min="56" max="58" width="11.85546875" hidden="1" customWidth="1"/>
    <col min="59" max="59" width="5.140625" hidden="1" customWidth="1"/>
    <col min="60" max="60" width="14.85546875" hidden="1" customWidth="1"/>
    <col min="61" max="61" width="12.85546875" hidden="1" customWidth="1"/>
    <col min="62" max="63" width="10.28515625" hidden="1" customWidth="1"/>
    <col min="64" max="64" width="5.140625" hidden="1" customWidth="1"/>
    <col min="65" max="65" width="9.140625" hidden="1" customWidth="1"/>
    <col min="66" max="66" width="3.42578125" hidden="1" customWidth="1"/>
    <col min="67" max="67" width="9.140625" hidden="1" customWidth="1"/>
    <col min="68" max="70" width="11.42578125" hidden="1" customWidth="1"/>
    <col min="71" max="72" width="11.42578125" customWidth="1"/>
  </cols>
  <sheetData>
    <row r="1" spans="1:72" ht="20.25" customHeight="1" x14ac:dyDescent="0.2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6"/>
      <c r="AE1" s="7"/>
      <c r="AF1" s="8"/>
      <c r="AG1" s="6"/>
      <c r="AH1" s="7"/>
      <c r="AI1" s="9"/>
      <c r="AJ1" s="4"/>
      <c r="AK1" s="10"/>
      <c r="AL1" s="11"/>
      <c r="AM1" s="4"/>
      <c r="AN1" s="4"/>
      <c r="AO1" s="4"/>
      <c r="AP1" s="1"/>
      <c r="AQ1" s="1"/>
      <c r="AR1" s="1"/>
      <c r="AS1" s="1"/>
      <c r="AT1" s="4"/>
      <c r="AU1" s="4"/>
      <c r="AV1" s="4"/>
      <c r="AW1" s="4"/>
      <c r="AX1" s="4"/>
      <c r="AY1" s="1"/>
      <c r="AZ1" s="1"/>
      <c r="BA1" s="1"/>
      <c r="BB1" s="1"/>
      <c r="BC1" s="4"/>
      <c r="BD1" s="1"/>
      <c r="BE1" s="4"/>
      <c r="BF1" s="4"/>
      <c r="BG1" s="4"/>
      <c r="BH1" s="4"/>
      <c r="BI1" s="4"/>
      <c r="BJ1" s="4"/>
      <c r="BK1" s="4"/>
      <c r="BL1" s="4"/>
      <c r="BM1" s="1"/>
      <c r="BN1" s="4"/>
      <c r="BO1" s="4"/>
      <c r="BP1" s="4"/>
      <c r="BQ1" s="4"/>
      <c r="BR1" s="4"/>
      <c r="BS1" s="4"/>
      <c r="BT1" s="4"/>
    </row>
    <row r="2" spans="1:72" ht="20.25" customHeight="1" x14ac:dyDescent="0.2">
      <c r="A2" s="12"/>
      <c r="B2" s="13"/>
      <c r="C2" s="3" t="s">
        <v>1</v>
      </c>
      <c r="D2" s="13"/>
      <c r="E2" s="14"/>
      <c r="F2" s="4"/>
      <c r="G2" s="4"/>
      <c r="H2" s="4"/>
      <c r="I2" s="14"/>
      <c r="J2" s="4"/>
      <c r="K2" s="4"/>
      <c r="L2" s="4"/>
      <c r="M2" s="1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7"/>
      <c r="AF2" s="8"/>
      <c r="AG2" s="6"/>
      <c r="AH2" s="7"/>
      <c r="AI2" s="9"/>
      <c r="AJ2" s="4"/>
      <c r="AK2" s="10"/>
      <c r="AL2" s="11"/>
      <c r="AM2" s="4"/>
      <c r="AN2" s="4"/>
      <c r="AO2" s="4"/>
      <c r="AP2" s="1"/>
      <c r="AQ2" s="1"/>
      <c r="AR2" s="1"/>
      <c r="AS2" s="1"/>
      <c r="AT2" s="4"/>
      <c r="AU2" s="4"/>
      <c r="AV2" s="4"/>
      <c r="AW2" s="4"/>
      <c r="AX2" s="4"/>
      <c r="AY2" s="1"/>
      <c r="AZ2" s="1"/>
      <c r="BA2" s="1"/>
      <c r="BB2" s="1"/>
      <c r="BC2" s="4"/>
      <c r="BD2" s="1"/>
      <c r="BE2" s="4"/>
      <c r="BF2" s="4"/>
      <c r="BG2" s="4"/>
      <c r="BH2" s="4"/>
      <c r="BI2" s="4"/>
      <c r="BJ2" s="4"/>
      <c r="BK2" s="4"/>
      <c r="BL2" s="4"/>
      <c r="BM2" s="1"/>
      <c r="BN2" s="4"/>
      <c r="BO2" s="4"/>
      <c r="BP2" s="4"/>
      <c r="BQ2" s="4"/>
      <c r="BR2" s="4"/>
      <c r="BS2" s="4"/>
      <c r="BT2" s="4"/>
    </row>
    <row r="3" spans="1:72" ht="20.25" customHeight="1" x14ac:dyDescent="0.2">
      <c r="A3" s="1"/>
      <c r="B3" s="2"/>
      <c r="C3" s="3" t="s">
        <v>797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6"/>
      <c r="AE3" s="7"/>
      <c r="AF3" s="8"/>
      <c r="AG3" s="6"/>
      <c r="AH3" s="7"/>
      <c r="AI3" s="9"/>
      <c r="AJ3" s="4"/>
      <c r="AK3" s="10"/>
      <c r="AL3" s="11"/>
      <c r="AM3" s="4"/>
      <c r="AN3" s="4"/>
      <c r="AO3" s="4"/>
      <c r="AP3" s="1"/>
      <c r="AQ3" s="1"/>
      <c r="AR3" s="1"/>
      <c r="AS3" s="1"/>
      <c r="AT3" s="4"/>
      <c r="AU3" s="4"/>
      <c r="AV3" s="4"/>
      <c r="AW3" s="4"/>
      <c r="AX3" s="4"/>
      <c r="AY3" s="1"/>
      <c r="AZ3" s="1"/>
      <c r="BA3" s="1"/>
      <c r="BB3" s="1"/>
      <c r="BC3" s="4"/>
      <c r="BD3" s="1"/>
      <c r="BE3" s="4"/>
      <c r="BF3" s="4"/>
      <c r="BG3" s="4"/>
      <c r="BH3" s="4"/>
      <c r="BI3" s="4"/>
      <c r="BJ3" s="4"/>
      <c r="BK3" s="4"/>
      <c r="BL3" s="4"/>
      <c r="BM3" s="1"/>
      <c r="BN3" s="4"/>
      <c r="BO3" s="4"/>
      <c r="BP3" s="4"/>
      <c r="BQ3" s="4"/>
      <c r="BR3" s="4"/>
      <c r="BS3" s="4"/>
      <c r="BT3" s="4"/>
    </row>
    <row r="4" spans="1:72" ht="18.75" customHeight="1" x14ac:dyDescent="0.2">
      <c r="A4" s="16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5"/>
      <c r="O4" s="18"/>
      <c r="P4" s="18"/>
      <c r="Q4" s="18"/>
      <c r="R4" s="18"/>
      <c r="S4" s="18"/>
      <c r="AD4" s="19"/>
      <c r="AE4" s="20"/>
      <c r="AF4" s="21"/>
      <c r="AG4" s="19"/>
      <c r="AH4" s="20"/>
      <c r="AI4" s="22"/>
      <c r="AK4" s="23"/>
      <c r="AL4" s="24"/>
      <c r="AP4" s="16"/>
      <c r="AQ4" s="16"/>
      <c r="AR4" s="16"/>
      <c r="AS4" s="16"/>
      <c r="AY4" s="16"/>
      <c r="AZ4" s="16"/>
      <c r="BA4" s="16"/>
      <c r="BB4" s="16"/>
      <c r="BD4" s="16"/>
      <c r="BM4" s="16"/>
    </row>
    <row r="5" spans="1:72" ht="19.5" customHeight="1" x14ac:dyDescent="0.2">
      <c r="A5" s="25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7"/>
      <c r="Q5" s="27"/>
      <c r="R5" s="27"/>
      <c r="S5" s="27"/>
      <c r="T5" s="29"/>
      <c r="U5" s="4"/>
      <c r="V5" s="217" t="s">
        <v>2</v>
      </c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9"/>
      <c r="AM5" s="4"/>
      <c r="AN5" s="4"/>
      <c r="AO5" s="4"/>
      <c r="AP5" s="220" t="s">
        <v>3</v>
      </c>
      <c r="AQ5" s="221"/>
      <c r="AR5" s="221"/>
      <c r="AS5" s="221"/>
      <c r="AT5" s="221"/>
      <c r="AU5" s="221"/>
      <c r="AV5" s="221"/>
      <c r="AW5" s="222"/>
      <c r="AX5" s="4"/>
      <c r="AY5" s="223" t="s">
        <v>4</v>
      </c>
      <c r="AZ5" s="218"/>
      <c r="BA5" s="218"/>
      <c r="BB5" s="218"/>
      <c r="BC5" s="218"/>
      <c r="BD5" s="218"/>
      <c r="BE5" s="218"/>
      <c r="BF5" s="219"/>
      <c r="BG5" s="4"/>
      <c r="BH5" s="30"/>
      <c r="BI5" s="31"/>
      <c r="BJ5" s="31"/>
      <c r="BK5" s="32"/>
      <c r="BL5" s="4"/>
      <c r="BM5" s="33"/>
      <c r="BN5" s="4"/>
      <c r="BO5" s="4"/>
      <c r="BP5" s="4"/>
      <c r="BQ5" s="4"/>
      <c r="BR5" s="4"/>
      <c r="BS5" s="4"/>
      <c r="BT5" s="4"/>
    </row>
    <row r="6" spans="1:72" ht="84" customHeight="1" x14ac:dyDescent="0.2">
      <c r="A6" s="34" t="s">
        <v>5</v>
      </c>
      <c r="B6" s="35" t="s">
        <v>6</v>
      </c>
      <c r="C6" s="36" t="s">
        <v>7</v>
      </c>
      <c r="D6" s="36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5" t="s">
        <v>13</v>
      </c>
      <c r="J6" s="35" t="s">
        <v>14</v>
      </c>
      <c r="K6" s="35" t="s">
        <v>15</v>
      </c>
      <c r="L6" s="35" t="s">
        <v>16</v>
      </c>
      <c r="M6" s="35" t="s">
        <v>17</v>
      </c>
      <c r="N6" s="35" t="s">
        <v>18</v>
      </c>
      <c r="O6" s="35" t="s">
        <v>19</v>
      </c>
      <c r="P6" s="35" t="s">
        <v>20</v>
      </c>
      <c r="Q6" s="35" t="s">
        <v>21</v>
      </c>
      <c r="R6" s="35" t="s">
        <v>22</v>
      </c>
      <c r="S6" s="35" t="s">
        <v>23</v>
      </c>
      <c r="T6" s="37"/>
      <c r="U6" s="38"/>
      <c r="V6" s="39" t="s">
        <v>24</v>
      </c>
      <c r="W6" s="39" t="s">
        <v>25</v>
      </c>
      <c r="X6" s="39" t="s">
        <v>26</v>
      </c>
      <c r="Y6" s="39" t="s">
        <v>27</v>
      </c>
      <c r="Z6" s="39" t="s">
        <v>28</v>
      </c>
      <c r="AA6" s="39" t="s">
        <v>29</v>
      </c>
      <c r="AB6" s="40" t="s">
        <v>30</v>
      </c>
      <c r="AC6" s="39" t="s">
        <v>31</v>
      </c>
      <c r="AD6" s="41" t="s">
        <v>32</v>
      </c>
      <c r="AE6" s="42" t="s">
        <v>33</v>
      </c>
      <c r="AF6" s="39" t="s">
        <v>34</v>
      </c>
      <c r="AG6" s="41" t="s">
        <v>35</v>
      </c>
      <c r="AH6" s="42" t="s">
        <v>36</v>
      </c>
      <c r="AI6" s="43" t="s">
        <v>37</v>
      </c>
      <c r="AJ6" s="40" t="s">
        <v>38</v>
      </c>
      <c r="AK6" s="44" t="s">
        <v>39</v>
      </c>
      <c r="AL6" s="45" t="s">
        <v>40</v>
      </c>
      <c r="AM6" s="4"/>
      <c r="AN6" s="4"/>
      <c r="AO6" s="4"/>
      <c r="AP6" s="46" t="s">
        <v>41</v>
      </c>
      <c r="AQ6" s="46" t="s">
        <v>42</v>
      </c>
      <c r="AR6" s="46" t="s">
        <v>43</v>
      </c>
      <c r="AS6" s="46" t="s">
        <v>44</v>
      </c>
      <c r="AT6" s="46" t="s">
        <v>45</v>
      </c>
      <c r="AU6" s="46" t="s">
        <v>46</v>
      </c>
      <c r="AV6" s="46" t="s">
        <v>47</v>
      </c>
      <c r="AW6" s="46" t="s">
        <v>48</v>
      </c>
      <c r="AX6" s="4"/>
      <c r="AY6" s="46" t="s">
        <v>49</v>
      </c>
      <c r="AZ6" s="46" t="s">
        <v>42</v>
      </c>
      <c r="BA6" s="46" t="s">
        <v>50</v>
      </c>
      <c r="BB6" s="46" t="s">
        <v>51</v>
      </c>
      <c r="BC6" s="46" t="s">
        <v>45</v>
      </c>
      <c r="BD6" s="46" t="s">
        <v>46</v>
      </c>
      <c r="BE6" s="46" t="s">
        <v>47</v>
      </c>
      <c r="BF6" s="46" t="s">
        <v>48</v>
      </c>
      <c r="BG6" s="4"/>
      <c r="BH6" s="224" t="s">
        <v>52</v>
      </c>
      <c r="BI6" s="225"/>
      <c r="BJ6" s="225"/>
      <c r="BK6" s="226"/>
      <c r="BL6" s="4"/>
      <c r="BM6" s="35" t="s">
        <v>53</v>
      </c>
      <c r="BN6" s="4"/>
      <c r="BO6" s="4"/>
      <c r="BP6" s="4"/>
      <c r="BQ6" s="4"/>
      <c r="BR6" s="4"/>
      <c r="BS6" s="4"/>
      <c r="BT6" s="4"/>
    </row>
    <row r="7" spans="1:72" ht="12.75" customHeight="1" x14ac:dyDescent="0.2">
      <c r="A7" s="47"/>
      <c r="B7" s="48" t="s">
        <v>54</v>
      </c>
      <c r="C7" s="49">
        <v>21318</v>
      </c>
      <c r="D7" s="50">
        <v>10</v>
      </c>
      <c r="E7" s="49">
        <v>20695.95</v>
      </c>
      <c r="F7" s="50" t="s">
        <v>55</v>
      </c>
      <c r="G7" s="51">
        <v>36586</v>
      </c>
      <c r="H7" s="52" t="s">
        <v>56</v>
      </c>
      <c r="I7" s="51">
        <v>36831</v>
      </c>
      <c r="J7" s="52">
        <f t="shared" ref="J7:J192" si="0">IF(I7="Active",0,(IF(I7="N/A","N/A",(I7-G7)/30)))</f>
        <v>8.1666666666666661</v>
      </c>
      <c r="K7" s="53" t="s">
        <v>57</v>
      </c>
      <c r="L7" s="53">
        <v>21660</v>
      </c>
      <c r="M7" s="54">
        <v>1210.1099999999999</v>
      </c>
      <c r="N7" s="54">
        <v>1395.45</v>
      </c>
      <c r="O7" s="54">
        <v>0</v>
      </c>
      <c r="P7" s="54">
        <f t="shared" ref="P7:P43" si="1">IF(L7="N/A",0,IF(L7-E7&gt;0,0,E7-L7))</f>
        <v>0</v>
      </c>
      <c r="Q7" s="54">
        <f t="shared" ref="Q7:Q80" si="2">IF(L7="N/A",0,IF(L7-E7-M7-N7-O7&gt;0,0,(L7-E7-M7-N7-O7)*-1))</f>
        <v>1641.5100000000007</v>
      </c>
      <c r="R7" s="55">
        <f t="shared" ref="R7:R192" si="3">IF(J7="N/A","N/A",Q7/E7)</f>
        <v>7.9315518253571374E-2</v>
      </c>
      <c r="S7" s="55">
        <f t="shared" ref="S7:S192" si="4">IF(R7="N/A","N/A",MAX(0,1-R7))</f>
        <v>0.92068448174642858</v>
      </c>
      <c r="T7" s="56"/>
      <c r="V7" s="57"/>
      <c r="W7" s="58"/>
      <c r="X7" s="58"/>
      <c r="Y7" s="58"/>
      <c r="Z7" s="58"/>
      <c r="AA7" s="58"/>
      <c r="AB7" s="58">
        <f t="shared" ref="AB7:AB132" si="5">AA7+Z7</f>
        <v>0</v>
      </c>
      <c r="AC7" s="58"/>
      <c r="AD7" s="59"/>
      <c r="AE7" s="60"/>
      <c r="AF7" s="61"/>
      <c r="AG7" s="59"/>
      <c r="AH7" s="60"/>
      <c r="AI7" s="62"/>
      <c r="AJ7" s="62">
        <f t="shared" ref="AJ7:AJ249" si="6">AE7+AH7</f>
        <v>0</v>
      </c>
      <c r="AK7" s="63"/>
      <c r="AL7" s="64">
        <f t="shared" ref="AL7:AL132" si="7">X7+Y7+Z7+AJ7</f>
        <v>0</v>
      </c>
      <c r="AP7" s="65">
        <f t="shared" ref="AP7:AP261" si="8">IF(F7="Legal Foreclosure",1,0)</f>
        <v>1</v>
      </c>
      <c r="AQ7" s="16">
        <f t="shared" ref="AQ7:AQ261" si="9">IF(I7="N/A",0,1)</f>
        <v>1</v>
      </c>
      <c r="AR7" s="16">
        <f t="shared" ref="AR7:AR261" si="10">AP7*AQ7</f>
        <v>1</v>
      </c>
      <c r="AS7" s="66">
        <f t="shared" ref="AS7:AS261" si="11">(N7+O7)*AR7</f>
        <v>1395.45</v>
      </c>
      <c r="AT7" s="67">
        <f t="shared" ref="AT7:AT261" si="12">E7*AR7</f>
        <v>20695.95</v>
      </c>
      <c r="AU7" s="68">
        <f t="shared" ref="AU7:AU194" si="13">IF(AR7=1,J7,0)</f>
        <v>8.1666666666666661</v>
      </c>
      <c r="AV7" s="19">
        <f t="shared" ref="AV7:AV261" si="14">AT7/$AT$400*AR7</f>
        <v>3.0228268305945594E-3</v>
      </c>
      <c r="AW7" s="69">
        <f t="shared" ref="AW7:AW261" si="15">IF(AR7=0,0,R7*AV7)</f>
        <v>2.3975707665940807E-4</v>
      </c>
      <c r="AY7" s="65">
        <f t="shared" ref="AY7:AY261" si="16">IF(F7="Deed in Lieu",1,0)</f>
        <v>0</v>
      </c>
      <c r="AZ7" s="16">
        <f t="shared" ref="AZ7:AZ261" si="17">IF(I7="N/A",0,1)</f>
        <v>1</v>
      </c>
      <c r="BA7" s="16">
        <f t="shared" ref="BA7:BA261" si="18">AY7*AZ7</f>
        <v>0</v>
      </c>
      <c r="BB7" s="70">
        <f t="shared" ref="BB7:BB261" si="19">(N7+O7)*BA7</f>
        <v>0</v>
      </c>
      <c r="BC7" s="67">
        <f t="shared" ref="BC7:BC261" si="20">E7*BA7</f>
        <v>0</v>
      </c>
      <c r="BD7" s="71">
        <f t="shared" ref="BD7:BD261" si="21">IF(BA7=1,J7,0)</f>
        <v>0</v>
      </c>
      <c r="BE7" s="19">
        <f t="shared" ref="BE7:BE261" si="22">BC7/$BC$400*BA7</f>
        <v>0</v>
      </c>
      <c r="BF7" s="69">
        <f t="shared" ref="BF7:BF261" si="23">IF(BA7=0,0,R7*BE7)</f>
        <v>0</v>
      </c>
      <c r="BH7" s="72">
        <f t="shared" ref="BH7:BH261" si="24">AT7+BC7</f>
        <v>20695.95</v>
      </c>
      <c r="BI7" s="73">
        <f t="shared" ref="BI7:BI261" si="25">AR7+BA7</f>
        <v>1</v>
      </c>
      <c r="BJ7" s="74">
        <f t="shared" ref="BJ7:BJ261" si="26">BH7/$BH$400</f>
        <v>1.8399095328450227E-3</v>
      </c>
      <c r="BK7" s="75">
        <f t="shared" ref="BK7:BK261" si="27">IF(BI7=0,0,R7*BJ7)</f>
        <v>1.4593337813728938E-4</v>
      </c>
      <c r="BM7" s="76">
        <f t="shared" ref="BM7:BM261" si="28">IF(E7&gt;1,1,0)</f>
        <v>1</v>
      </c>
    </row>
    <row r="8" spans="1:72" ht="12.75" customHeight="1" x14ac:dyDescent="0.2">
      <c r="A8" s="47"/>
      <c r="B8" s="48" t="s">
        <v>58</v>
      </c>
      <c r="C8" s="49">
        <v>69600</v>
      </c>
      <c r="D8" s="50">
        <v>11</v>
      </c>
      <c r="E8" s="49">
        <v>67584.399999999994</v>
      </c>
      <c r="F8" s="50" t="s">
        <v>55</v>
      </c>
      <c r="G8" s="51">
        <v>36770</v>
      </c>
      <c r="H8" s="52" t="s">
        <v>56</v>
      </c>
      <c r="I8" s="51">
        <v>37043</v>
      </c>
      <c r="J8" s="52">
        <f t="shared" si="0"/>
        <v>9.1</v>
      </c>
      <c r="K8" s="53" t="s">
        <v>59</v>
      </c>
      <c r="L8" s="53">
        <v>92000</v>
      </c>
      <c r="M8" s="54">
        <v>6064</v>
      </c>
      <c r="N8" s="54">
        <v>4000</v>
      </c>
      <c r="O8" s="54">
        <v>3800</v>
      </c>
      <c r="P8" s="54">
        <f t="shared" si="1"/>
        <v>0</v>
      </c>
      <c r="Q8" s="54">
        <f t="shared" si="2"/>
        <v>0</v>
      </c>
      <c r="R8" s="55">
        <f t="shared" si="3"/>
        <v>0</v>
      </c>
      <c r="S8" s="55">
        <f t="shared" si="4"/>
        <v>1</v>
      </c>
      <c r="T8" s="56"/>
      <c r="V8" s="57"/>
      <c r="W8" s="58"/>
      <c r="X8" s="58"/>
      <c r="Y8" s="58"/>
      <c r="Z8" s="58"/>
      <c r="AA8" s="58"/>
      <c r="AB8" s="58">
        <f t="shared" si="5"/>
        <v>0</v>
      </c>
      <c r="AC8" s="58"/>
      <c r="AD8" s="59"/>
      <c r="AE8" s="60"/>
      <c r="AF8" s="61"/>
      <c r="AG8" s="59"/>
      <c r="AH8" s="60"/>
      <c r="AI8" s="62"/>
      <c r="AJ8" s="62">
        <f t="shared" si="6"/>
        <v>0</v>
      </c>
      <c r="AK8" s="63"/>
      <c r="AL8" s="64">
        <f t="shared" si="7"/>
        <v>0</v>
      </c>
      <c r="AP8" s="65">
        <f t="shared" si="8"/>
        <v>1</v>
      </c>
      <c r="AQ8" s="16">
        <f t="shared" si="9"/>
        <v>1</v>
      </c>
      <c r="AR8" s="16">
        <f t="shared" si="10"/>
        <v>1</v>
      </c>
      <c r="AS8" s="66">
        <f t="shared" si="11"/>
        <v>7800</v>
      </c>
      <c r="AT8" s="67">
        <f t="shared" si="12"/>
        <v>67584.399999999994</v>
      </c>
      <c r="AU8" s="68">
        <f t="shared" si="13"/>
        <v>9.1</v>
      </c>
      <c r="AV8" s="19">
        <f t="shared" si="14"/>
        <v>9.8713003099463858E-3</v>
      </c>
      <c r="AW8" s="69">
        <f t="shared" si="15"/>
        <v>0</v>
      </c>
      <c r="AY8" s="65">
        <f t="shared" si="16"/>
        <v>0</v>
      </c>
      <c r="AZ8" s="16">
        <f t="shared" si="17"/>
        <v>1</v>
      </c>
      <c r="BA8" s="16">
        <f t="shared" si="18"/>
        <v>0</v>
      </c>
      <c r="BB8" s="70">
        <f t="shared" si="19"/>
        <v>0</v>
      </c>
      <c r="BC8" s="67">
        <f t="shared" si="20"/>
        <v>0</v>
      </c>
      <c r="BD8" s="71">
        <f t="shared" si="21"/>
        <v>0</v>
      </c>
      <c r="BE8" s="19">
        <f t="shared" si="22"/>
        <v>0</v>
      </c>
      <c r="BF8" s="69">
        <f t="shared" si="23"/>
        <v>0</v>
      </c>
      <c r="BH8" s="72">
        <f t="shared" si="24"/>
        <v>67584.399999999994</v>
      </c>
      <c r="BI8" s="73">
        <f t="shared" si="25"/>
        <v>1</v>
      </c>
      <c r="BJ8" s="74">
        <f t="shared" si="26"/>
        <v>6.0083824048478632E-3</v>
      </c>
      <c r="BK8" s="75">
        <f t="shared" si="27"/>
        <v>0</v>
      </c>
      <c r="BM8" s="76">
        <f t="shared" si="28"/>
        <v>1</v>
      </c>
    </row>
    <row r="9" spans="1:72" ht="12.75" customHeight="1" x14ac:dyDescent="0.2">
      <c r="A9" s="47"/>
      <c r="B9" s="48" t="s">
        <v>60</v>
      </c>
      <c r="C9" s="49">
        <v>72000</v>
      </c>
      <c r="D9" s="50">
        <v>13</v>
      </c>
      <c r="E9" s="49">
        <v>70452.479999999996</v>
      </c>
      <c r="F9" s="50" t="s">
        <v>55</v>
      </c>
      <c r="G9" s="51">
        <v>36800</v>
      </c>
      <c r="H9" s="52" t="s">
        <v>56</v>
      </c>
      <c r="I9" s="51">
        <v>37226</v>
      </c>
      <c r="J9" s="52">
        <f t="shared" si="0"/>
        <v>14.2</v>
      </c>
      <c r="K9" s="53" t="s">
        <v>61</v>
      </c>
      <c r="L9" s="53">
        <v>85000</v>
      </c>
      <c r="M9" s="54">
        <v>13794.68</v>
      </c>
      <c r="N9" s="54">
        <v>4900</v>
      </c>
      <c r="O9" s="54">
        <v>0</v>
      </c>
      <c r="P9" s="54">
        <f t="shared" si="1"/>
        <v>0</v>
      </c>
      <c r="Q9" s="54">
        <f t="shared" si="2"/>
        <v>4147.1599999999962</v>
      </c>
      <c r="R9" s="55">
        <f t="shared" si="3"/>
        <v>5.886464181246702E-2</v>
      </c>
      <c r="S9" s="55">
        <f t="shared" si="4"/>
        <v>0.94113535818753302</v>
      </c>
      <c r="T9" s="56"/>
      <c r="V9" s="57"/>
      <c r="W9" s="58"/>
      <c r="X9" s="58"/>
      <c r="Y9" s="58"/>
      <c r="Z9" s="58"/>
      <c r="AA9" s="58"/>
      <c r="AB9" s="58">
        <f t="shared" si="5"/>
        <v>0</v>
      </c>
      <c r="AC9" s="58"/>
      <c r="AD9" s="59"/>
      <c r="AE9" s="60"/>
      <c r="AF9" s="61"/>
      <c r="AG9" s="59"/>
      <c r="AH9" s="60"/>
      <c r="AI9" s="62"/>
      <c r="AJ9" s="62">
        <f t="shared" si="6"/>
        <v>0</v>
      </c>
      <c r="AK9" s="63"/>
      <c r="AL9" s="64">
        <f t="shared" si="7"/>
        <v>0</v>
      </c>
      <c r="AP9" s="65">
        <f t="shared" si="8"/>
        <v>1</v>
      </c>
      <c r="AQ9" s="16">
        <f t="shared" si="9"/>
        <v>1</v>
      </c>
      <c r="AR9" s="16">
        <f t="shared" si="10"/>
        <v>1</v>
      </c>
      <c r="AS9" s="66">
        <f t="shared" si="11"/>
        <v>4900</v>
      </c>
      <c r="AT9" s="67">
        <f t="shared" si="12"/>
        <v>70452.479999999996</v>
      </c>
      <c r="AU9" s="68">
        <f t="shared" si="13"/>
        <v>14.2</v>
      </c>
      <c r="AV9" s="19">
        <f t="shared" si="14"/>
        <v>1.029020880055888E-2</v>
      </c>
      <c r="AW9" s="69">
        <f t="shared" si="15"/>
        <v>6.0572945522039431E-4</v>
      </c>
      <c r="AY9" s="65">
        <f t="shared" si="16"/>
        <v>0</v>
      </c>
      <c r="AZ9" s="16">
        <f t="shared" si="17"/>
        <v>1</v>
      </c>
      <c r="BA9" s="16">
        <f t="shared" si="18"/>
        <v>0</v>
      </c>
      <c r="BB9" s="70">
        <f t="shared" si="19"/>
        <v>0</v>
      </c>
      <c r="BC9" s="67">
        <f t="shared" si="20"/>
        <v>0</v>
      </c>
      <c r="BD9" s="71">
        <f t="shared" si="21"/>
        <v>0</v>
      </c>
      <c r="BE9" s="19">
        <f t="shared" si="22"/>
        <v>0</v>
      </c>
      <c r="BF9" s="69">
        <f t="shared" si="23"/>
        <v>0</v>
      </c>
      <c r="BH9" s="72">
        <f t="shared" si="24"/>
        <v>70452.479999999996</v>
      </c>
      <c r="BI9" s="73">
        <f t="shared" si="25"/>
        <v>1</v>
      </c>
      <c r="BJ9" s="74">
        <f t="shared" si="26"/>
        <v>6.2633602016130352E-3</v>
      </c>
      <c r="BK9" s="75">
        <f t="shared" si="27"/>
        <v>3.6869045481041255E-4</v>
      </c>
      <c r="BM9" s="76">
        <f t="shared" si="28"/>
        <v>1</v>
      </c>
    </row>
    <row r="10" spans="1:72" ht="12.75" customHeight="1" x14ac:dyDescent="0.2">
      <c r="A10" s="47"/>
      <c r="B10" s="48" t="s">
        <v>62</v>
      </c>
      <c r="C10" s="49">
        <v>21090</v>
      </c>
      <c r="D10" s="50">
        <v>11</v>
      </c>
      <c r="E10" s="49">
        <v>21046.78</v>
      </c>
      <c r="F10" s="50" t="s">
        <v>63</v>
      </c>
      <c r="G10" s="51">
        <v>37591</v>
      </c>
      <c r="H10" s="52" t="s">
        <v>56</v>
      </c>
      <c r="I10" s="51">
        <v>37622</v>
      </c>
      <c r="J10" s="52">
        <f t="shared" si="0"/>
        <v>1.0333333333333334</v>
      </c>
      <c r="K10" s="53" t="s">
        <v>64</v>
      </c>
      <c r="L10" s="53">
        <v>22200</v>
      </c>
      <c r="M10" s="54">
        <v>964</v>
      </c>
      <c r="N10" s="54">
        <v>0</v>
      </c>
      <c r="O10" s="54">
        <v>0</v>
      </c>
      <c r="P10" s="54">
        <f t="shared" si="1"/>
        <v>0</v>
      </c>
      <c r="Q10" s="54">
        <f t="shared" si="2"/>
        <v>0</v>
      </c>
      <c r="R10" s="55">
        <f t="shared" si="3"/>
        <v>0</v>
      </c>
      <c r="S10" s="55">
        <f t="shared" si="4"/>
        <v>1</v>
      </c>
      <c r="T10" s="56"/>
      <c r="V10" s="57"/>
      <c r="W10" s="58"/>
      <c r="X10" s="58"/>
      <c r="Y10" s="58"/>
      <c r="Z10" s="58"/>
      <c r="AA10" s="58"/>
      <c r="AB10" s="58">
        <f t="shared" si="5"/>
        <v>0</v>
      </c>
      <c r="AC10" s="58"/>
      <c r="AD10" s="59"/>
      <c r="AE10" s="60"/>
      <c r="AF10" s="61"/>
      <c r="AG10" s="59"/>
      <c r="AH10" s="60"/>
      <c r="AI10" s="62"/>
      <c r="AJ10" s="62">
        <f t="shared" si="6"/>
        <v>0</v>
      </c>
      <c r="AK10" s="63"/>
      <c r="AL10" s="64">
        <f t="shared" si="7"/>
        <v>0</v>
      </c>
      <c r="AP10" s="65">
        <f t="shared" si="8"/>
        <v>0</v>
      </c>
      <c r="AQ10" s="16">
        <f t="shared" si="9"/>
        <v>1</v>
      </c>
      <c r="AR10" s="16">
        <f t="shared" si="10"/>
        <v>0</v>
      </c>
      <c r="AS10" s="66">
        <f t="shared" si="11"/>
        <v>0</v>
      </c>
      <c r="AT10" s="67">
        <f t="shared" si="12"/>
        <v>0</v>
      </c>
      <c r="AU10" s="68">
        <f t="shared" si="13"/>
        <v>0</v>
      </c>
      <c r="AV10" s="19">
        <f t="shared" si="14"/>
        <v>0</v>
      </c>
      <c r="AW10" s="69">
        <f t="shared" si="15"/>
        <v>0</v>
      </c>
      <c r="AY10" s="65">
        <f t="shared" si="16"/>
        <v>1</v>
      </c>
      <c r="AZ10" s="16">
        <f t="shared" si="17"/>
        <v>1</v>
      </c>
      <c r="BA10" s="16">
        <f t="shared" si="18"/>
        <v>1</v>
      </c>
      <c r="BB10" s="70">
        <f t="shared" si="19"/>
        <v>0</v>
      </c>
      <c r="BC10" s="67">
        <f t="shared" si="20"/>
        <v>21046.78</v>
      </c>
      <c r="BD10" s="71">
        <f t="shared" si="21"/>
        <v>1.0333333333333334</v>
      </c>
      <c r="BE10" s="19">
        <f t="shared" si="22"/>
        <v>4.7814063102378269E-3</v>
      </c>
      <c r="BF10" s="69">
        <f t="shared" si="23"/>
        <v>0</v>
      </c>
      <c r="BH10" s="72">
        <f t="shared" si="24"/>
        <v>21046.78</v>
      </c>
      <c r="BI10" s="73">
        <f t="shared" si="25"/>
        <v>1</v>
      </c>
      <c r="BJ10" s="74">
        <f t="shared" si="26"/>
        <v>1.8710989907538415E-3</v>
      </c>
      <c r="BK10" s="75">
        <f t="shared" si="27"/>
        <v>0</v>
      </c>
      <c r="BM10" s="76">
        <f t="shared" si="28"/>
        <v>1</v>
      </c>
    </row>
    <row r="11" spans="1:72" ht="12.75" customHeight="1" x14ac:dyDescent="0.2">
      <c r="A11" s="47"/>
      <c r="B11" s="48" t="s">
        <v>65</v>
      </c>
      <c r="C11" s="49">
        <v>21090</v>
      </c>
      <c r="D11" s="50">
        <v>13</v>
      </c>
      <c r="E11" s="49">
        <v>20675.16</v>
      </c>
      <c r="F11" s="50" t="s">
        <v>63</v>
      </c>
      <c r="G11" s="51">
        <v>37622</v>
      </c>
      <c r="H11" s="52" t="s">
        <v>56</v>
      </c>
      <c r="I11" s="51">
        <v>37622</v>
      </c>
      <c r="J11" s="52">
        <f t="shared" si="0"/>
        <v>0</v>
      </c>
      <c r="K11" s="53" t="s">
        <v>66</v>
      </c>
      <c r="L11" s="53">
        <v>22632.71</v>
      </c>
      <c r="M11" s="54">
        <v>1077.29</v>
      </c>
      <c r="N11" s="54">
        <v>0</v>
      </c>
      <c r="O11" s="54">
        <v>884</v>
      </c>
      <c r="P11" s="54">
        <f t="shared" si="1"/>
        <v>0</v>
      </c>
      <c r="Q11" s="54">
        <f t="shared" si="2"/>
        <v>3.7400000000006912</v>
      </c>
      <c r="R11" s="55">
        <f t="shared" si="3"/>
        <v>1.8089340058314863E-4</v>
      </c>
      <c r="S11" s="55">
        <f t="shared" si="4"/>
        <v>0.99981910659941686</v>
      </c>
      <c r="T11" s="56"/>
      <c r="V11" s="57"/>
      <c r="W11" s="58"/>
      <c r="X11" s="58"/>
      <c r="Y11" s="58"/>
      <c r="Z11" s="58"/>
      <c r="AA11" s="58"/>
      <c r="AB11" s="58">
        <f t="shared" si="5"/>
        <v>0</v>
      </c>
      <c r="AC11" s="58"/>
      <c r="AD11" s="59"/>
      <c r="AE11" s="60"/>
      <c r="AF11" s="61"/>
      <c r="AG11" s="59"/>
      <c r="AH11" s="60"/>
      <c r="AI11" s="62"/>
      <c r="AJ11" s="62">
        <f t="shared" si="6"/>
        <v>0</v>
      </c>
      <c r="AK11" s="63"/>
      <c r="AL11" s="64">
        <f t="shared" si="7"/>
        <v>0</v>
      </c>
      <c r="AP11" s="65">
        <f t="shared" si="8"/>
        <v>0</v>
      </c>
      <c r="AQ11" s="16">
        <f t="shared" si="9"/>
        <v>1</v>
      </c>
      <c r="AR11" s="16">
        <f t="shared" si="10"/>
        <v>0</v>
      </c>
      <c r="AS11" s="66">
        <f t="shared" si="11"/>
        <v>0</v>
      </c>
      <c r="AT11" s="67">
        <f t="shared" si="12"/>
        <v>0</v>
      </c>
      <c r="AU11" s="68">
        <f t="shared" si="13"/>
        <v>0</v>
      </c>
      <c r="AV11" s="19">
        <f t="shared" si="14"/>
        <v>0</v>
      </c>
      <c r="AW11" s="69">
        <f t="shared" si="15"/>
        <v>0</v>
      </c>
      <c r="AY11" s="65">
        <f t="shared" si="16"/>
        <v>1</v>
      </c>
      <c r="AZ11" s="16">
        <f t="shared" si="17"/>
        <v>1</v>
      </c>
      <c r="BA11" s="16">
        <f t="shared" si="18"/>
        <v>1</v>
      </c>
      <c r="BB11" s="70">
        <f t="shared" si="19"/>
        <v>884</v>
      </c>
      <c r="BC11" s="67">
        <f t="shared" si="20"/>
        <v>20675.16</v>
      </c>
      <c r="BD11" s="71">
        <f t="shared" si="21"/>
        <v>0</v>
      </c>
      <c r="BE11" s="19">
        <f t="shared" si="22"/>
        <v>4.6969816992992143E-3</v>
      </c>
      <c r="BF11" s="69">
        <f t="shared" si="23"/>
        <v>8.4965299206305095E-7</v>
      </c>
      <c r="BH11" s="72">
        <f t="shared" si="24"/>
        <v>20675.16</v>
      </c>
      <c r="BI11" s="73">
        <f t="shared" si="25"/>
        <v>1</v>
      </c>
      <c r="BJ11" s="74">
        <f t="shared" si="26"/>
        <v>1.8380612620873215E-3</v>
      </c>
      <c r="BK11" s="75">
        <f t="shared" si="27"/>
        <v>3.3249315217912961E-7</v>
      </c>
      <c r="BM11" s="76">
        <f t="shared" si="28"/>
        <v>1</v>
      </c>
    </row>
    <row r="12" spans="1:72" ht="12.75" customHeight="1" x14ac:dyDescent="0.2">
      <c r="A12" s="47"/>
      <c r="B12" s="48" t="s">
        <v>67</v>
      </c>
      <c r="C12" s="49">
        <v>85000</v>
      </c>
      <c r="D12" s="50">
        <v>7</v>
      </c>
      <c r="E12" s="49">
        <v>84550.64</v>
      </c>
      <c r="F12" s="50" t="s">
        <v>63</v>
      </c>
      <c r="G12" s="51">
        <v>37773</v>
      </c>
      <c r="H12" s="52" t="s">
        <v>56</v>
      </c>
      <c r="I12" s="51">
        <v>37956</v>
      </c>
      <c r="J12" s="52">
        <f t="shared" si="0"/>
        <v>6.1</v>
      </c>
      <c r="K12" s="53" t="s">
        <v>68</v>
      </c>
      <c r="L12" s="53">
        <v>60000</v>
      </c>
      <c r="M12" s="54">
        <v>5002.92</v>
      </c>
      <c r="N12" s="54">
        <v>0</v>
      </c>
      <c r="O12" s="54">
        <v>3554</v>
      </c>
      <c r="P12" s="54">
        <f t="shared" si="1"/>
        <v>24550.639999999999</v>
      </c>
      <c r="Q12" s="54">
        <f t="shared" si="2"/>
        <v>33107.56</v>
      </c>
      <c r="R12" s="55">
        <f t="shared" si="3"/>
        <v>0.39157077935779078</v>
      </c>
      <c r="S12" s="55">
        <f t="shared" si="4"/>
        <v>0.60842922064220928</v>
      </c>
      <c r="T12" s="56"/>
      <c r="V12" s="57"/>
      <c r="W12" s="58"/>
      <c r="X12" s="58"/>
      <c r="Y12" s="58"/>
      <c r="Z12" s="58"/>
      <c r="AA12" s="58"/>
      <c r="AB12" s="58">
        <f t="shared" si="5"/>
        <v>0</v>
      </c>
      <c r="AC12" s="58"/>
      <c r="AD12" s="59"/>
      <c r="AE12" s="60"/>
      <c r="AF12" s="61"/>
      <c r="AG12" s="59"/>
      <c r="AH12" s="60"/>
      <c r="AI12" s="62"/>
      <c r="AJ12" s="62">
        <f t="shared" si="6"/>
        <v>0</v>
      </c>
      <c r="AK12" s="63"/>
      <c r="AL12" s="64">
        <f t="shared" si="7"/>
        <v>0</v>
      </c>
      <c r="AP12" s="65">
        <f t="shared" si="8"/>
        <v>0</v>
      </c>
      <c r="AQ12" s="16">
        <f t="shared" si="9"/>
        <v>1</v>
      </c>
      <c r="AR12" s="16">
        <f t="shared" si="10"/>
        <v>0</v>
      </c>
      <c r="AS12" s="66">
        <f t="shared" si="11"/>
        <v>0</v>
      </c>
      <c r="AT12" s="67">
        <f t="shared" si="12"/>
        <v>0</v>
      </c>
      <c r="AU12" s="68">
        <f t="shared" si="13"/>
        <v>0</v>
      </c>
      <c r="AV12" s="19">
        <f t="shared" si="14"/>
        <v>0</v>
      </c>
      <c r="AW12" s="69">
        <f t="shared" si="15"/>
        <v>0</v>
      </c>
      <c r="AY12" s="65">
        <f t="shared" si="16"/>
        <v>1</v>
      </c>
      <c r="AZ12" s="16">
        <f t="shared" si="17"/>
        <v>1</v>
      </c>
      <c r="BA12" s="16">
        <f t="shared" si="18"/>
        <v>1</v>
      </c>
      <c r="BB12" s="70">
        <f t="shared" si="19"/>
        <v>3554</v>
      </c>
      <c r="BC12" s="67">
        <f t="shared" si="20"/>
        <v>84550.64</v>
      </c>
      <c r="BD12" s="71">
        <f t="shared" si="21"/>
        <v>6.1</v>
      </c>
      <c r="BE12" s="19">
        <f t="shared" si="22"/>
        <v>1.9208209694340266E-2</v>
      </c>
      <c r="BF12" s="69">
        <f t="shared" si="23"/>
        <v>7.5213736400806903E-3</v>
      </c>
      <c r="BH12" s="72">
        <f t="shared" si="24"/>
        <v>84550.64</v>
      </c>
      <c r="BI12" s="73">
        <f t="shared" si="25"/>
        <v>1</v>
      </c>
      <c r="BJ12" s="74">
        <f t="shared" si="26"/>
        <v>7.5167135861918723E-3</v>
      </c>
      <c r="BK12" s="75">
        <f t="shared" si="27"/>
        <v>2.9433253971544457E-3</v>
      </c>
      <c r="BM12" s="76">
        <f t="shared" si="28"/>
        <v>1</v>
      </c>
    </row>
    <row r="13" spans="1:72" ht="12.75" customHeight="1" x14ac:dyDescent="0.2">
      <c r="A13" s="47"/>
      <c r="B13" s="48" t="s">
        <v>69</v>
      </c>
      <c r="C13" s="49">
        <v>42453.13</v>
      </c>
      <c r="D13" s="50">
        <v>13</v>
      </c>
      <c r="E13" s="49">
        <v>42019.23</v>
      </c>
      <c r="F13" s="50" t="s">
        <v>55</v>
      </c>
      <c r="G13" s="51">
        <v>37834</v>
      </c>
      <c r="H13" s="52" t="s">
        <v>56</v>
      </c>
      <c r="I13" s="51">
        <v>38139</v>
      </c>
      <c r="J13" s="52">
        <f t="shared" si="0"/>
        <v>10.166666666666666</v>
      </c>
      <c r="K13" s="53" t="s">
        <v>70</v>
      </c>
      <c r="L13" s="53">
        <v>44519.23</v>
      </c>
      <c r="M13" s="54">
        <v>2588.9499999999998</v>
      </c>
      <c r="N13" s="54">
        <v>2389</v>
      </c>
      <c r="O13" s="54">
        <v>356</v>
      </c>
      <c r="P13" s="54">
        <f t="shared" si="1"/>
        <v>0</v>
      </c>
      <c r="Q13" s="54">
        <f t="shared" si="2"/>
        <v>2833.95</v>
      </c>
      <c r="R13" s="55">
        <f t="shared" si="3"/>
        <v>6.7444120227809976E-2</v>
      </c>
      <c r="S13" s="55">
        <f t="shared" si="4"/>
        <v>0.93255587977219001</v>
      </c>
      <c r="T13" s="56"/>
      <c r="V13" s="57"/>
      <c r="W13" s="58"/>
      <c r="X13" s="58"/>
      <c r="Y13" s="58"/>
      <c r="Z13" s="58"/>
      <c r="AA13" s="58"/>
      <c r="AB13" s="58">
        <f t="shared" si="5"/>
        <v>0</v>
      </c>
      <c r="AC13" s="58"/>
      <c r="AD13" s="59"/>
      <c r="AE13" s="60"/>
      <c r="AF13" s="61"/>
      <c r="AG13" s="59"/>
      <c r="AH13" s="60"/>
      <c r="AI13" s="62"/>
      <c r="AJ13" s="62">
        <f t="shared" si="6"/>
        <v>0</v>
      </c>
      <c r="AK13" s="63"/>
      <c r="AL13" s="64">
        <f t="shared" si="7"/>
        <v>0</v>
      </c>
      <c r="AP13" s="65">
        <f t="shared" si="8"/>
        <v>1</v>
      </c>
      <c r="AQ13" s="16">
        <f t="shared" si="9"/>
        <v>1</v>
      </c>
      <c r="AR13" s="16">
        <f t="shared" si="10"/>
        <v>1</v>
      </c>
      <c r="AS13" s="66">
        <f t="shared" si="11"/>
        <v>2745</v>
      </c>
      <c r="AT13" s="67">
        <f t="shared" si="12"/>
        <v>42019.23</v>
      </c>
      <c r="AU13" s="68">
        <f t="shared" si="13"/>
        <v>10.166666666666666</v>
      </c>
      <c r="AV13" s="19">
        <f t="shared" si="14"/>
        <v>6.1372807648319514E-3</v>
      </c>
      <c r="AW13" s="69">
        <f t="shared" si="15"/>
        <v>4.1392350177515172E-4</v>
      </c>
      <c r="AY13" s="65">
        <f t="shared" si="16"/>
        <v>0</v>
      </c>
      <c r="AZ13" s="16">
        <f t="shared" si="17"/>
        <v>1</v>
      </c>
      <c r="BA13" s="16">
        <f t="shared" si="18"/>
        <v>0</v>
      </c>
      <c r="BB13" s="70">
        <f t="shared" si="19"/>
        <v>0</v>
      </c>
      <c r="BC13" s="67">
        <f t="shared" si="20"/>
        <v>0</v>
      </c>
      <c r="BD13" s="71">
        <f t="shared" si="21"/>
        <v>0</v>
      </c>
      <c r="BE13" s="19">
        <f t="shared" si="22"/>
        <v>0</v>
      </c>
      <c r="BF13" s="69">
        <f t="shared" si="23"/>
        <v>0</v>
      </c>
      <c r="BH13" s="72">
        <f t="shared" si="24"/>
        <v>42019.23</v>
      </c>
      <c r="BI13" s="73">
        <f t="shared" si="25"/>
        <v>1</v>
      </c>
      <c r="BJ13" s="74">
        <f t="shared" si="26"/>
        <v>3.735589902362905E-3</v>
      </c>
      <c r="BK13" s="75">
        <f t="shared" si="27"/>
        <v>2.5194357449675667E-4</v>
      </c>
      <c r="BM13" s="76">
        <f t="shared" si="28"/>
        <v>1</v>
      </c>
    </row>
    <row r="14" spans="1:72" ht="12.75" customHeight="1" x14ac:dyDescent="0.2">
      <c r="A14" s="47"/>
      <c r="B14" s="48" t="s">
        <v>71</v>
      </c>
      <c r="C14" s="49">
        <v>15385.25</v>
      </c>
      <c r="D14" s="50">
        <v>13</v>
      </c>
      <c r="E14" s="49">
        <v>15324.14</v>
      </c>
      <c r="F14" s="50" t="s">
        <v>63</v>
      </c>
      <c r="G14" s="51">
        <v>37865</v>
      </c>
      <c r="H14" s="52" t="s">
        <v>56</v>
      </c>
      <c r="I14" s="51">
        <v>37987</v>
      </c>
      <c r="J14" s="52">
        <f t="shared" si="0"/>
        <v>4.0666666666666664</v>
      </c>
      <c r="K14" s="53" t="s">
        <v>72</v>
      </c>
      <c r="L14" s="53">
        <v>16195</v>
      </c>
      <c r="M14" s="54">
        <v>675.15</v>
      </c>
      <c r="N14" s="54">
        <v>0</v>
      </c>
      <c r="O14" s="54">
        <v>0</v>
      </c>
      <c r="P14" s="54">
        <f t="shared" si="1"/>
        <v>0</v>
      </c>
      <c r="Q14" s="54">
        <f t="shared" si="2"/>
        <v>0</v>
      </c>
      <c r="R14" s="55">
        <f t="shared" si="3"/>
        <v>0</v>
      </c>
      <c r="S14" s="55">
        <f t="shared" si="4"/>
        <v>1</v>
      </c>
      <c r="T14" s="56"/>
      <c r="V14" s="57"/>
      <c r="W14" s="58"/>
      <c r="X14" s="58"/>
      <c r="Y14" s="58"/>
      <c r="Z14" s="58"/>
      <c r="AA14" s="58"/>
      <c r="AB14" s="58">
        <f t="shared" si="5"/>
        <v>0</v>
      </c>
      <c r="AC14" s="58"/>
      <c r="AD14" s="59"/>
      <c r="AE14" s="60"/>
      <c r="AF14" s="61"/>
      <c r="AG14" s="59"/>
      <c r="AH14" s="60"/>
      <c r="AI14" s="62"/>
      <c r="AJ14" s="62">
        <f t="shared" si="6"/>
        <v>0</v>
      </c>
      <c r="AK14" s="63"/>
      <c r="AL14" s="64">
        <f t="shared" si="7"/>
        <v>0</v>
      </c>
      <c r="AP14" s="65">
        <f t="shared" si="8"/>
        <v>0</v>
      </c>
      <c r="AQ14" s="16">
        <f t="shared" si="9"/>
        <v>1</v>
      </c>
      <c r="AR14" s="16">
        <f t="shared" si="10"/>
        <v>0</v>
      </c>
      <c r="AS14" s="66">
        <f t="shared" si="11"/>
        <v>0</v>
      </c>
      <c r="AT14" s="67">
        <f t="shared" si="12"/>
        <v>0</v>
      </c>
      <c r="AU14" s="68">
        <f t="shared" si="13"/>
        <v>0</v>
      </c>
      <c r="AV14" s="19">
        <f t="shared" si="14"/>
        <v>0</v>
      </c>
      <c r="AW14" s="69">
        <f t="shared" si="15"/>
        <v>0</v>
      </c>
      <c r="AY14" s="65">
        <f t="shared" si="16"/>
        <v>1</v>
      </c>
      <c r="AZ14" s="16">
        <f t="shared" si="17"/>
        <v>1</v>
      </c>
      <c r="BA14" s="16">
        <f t="shared" si="18"/>
        <v>1</v>
      </c>
      <c r="BB14" s="70">
        <f t="shared" si="19"/>
        <v>0</v>
      </c>
      <c r="BC14" s="67">
        <f t="shared" si="20"/>
        <v>15324.14</v>
      </c>
      <c r="BD14" s="71">
        <f t="shared" si="21"/>
        <v>4.0666666666666664</v>
      </c>
      <c r="BE14" s="19">
        <f t="shared" si="22"/>
        <v>3.481337273206063E-3</v>
      </c>
      <c r="BF14" s="69">
        <f t="shared" si="23"/>
        <v>0</v>
      </c>
      <c r="BH14" s="72">
        <f t="shared" si="24"/>
        <v>15324.14</v>
      </c>
      <c r="BI14" s="73">
        <f t="shared" si="25"/>
        <v>1</v>
      </c>
      <c r="BJ14" s="74">
        <f t="shared" si="26"/>
        <v>1.3623453510784344E-3</v>
      </c>
      <c r="BK14" s="75">
        <f t="shared" si="27"/>
        <v>0</v>
      </c>
      <c r="BM14" s="76">
        <f t="shared" si="28"/>
        <v>1</v>
      </c>
    </row>
    <row r="15" spans="1:72" ht="12.75" customHeight="1" x14ac:dyDescent="0.2">
      <c r="A15" s="47"/>
      <c r="B15" s="48" t="s">
        <v>73</v>
      </c>
      <c r="C15" s="49">
        <v>50575</v>
      </c>
      <c r="D15" s="50">
        <v>13</v>
      </c>
      <c r="E15" s="49">
        <v>48810.61</v>
      </c>
      <c r="F15" s="50" t="s">
        <v>55</v>
      </c>
      <c r="G15" s="51">
        <v>38078</v>
      </c>
      <c r="H15" s="52" t="s">
        <v>56</v>
      </c>
      <c r="I15" s="51">
        <v>38200</v>
      </c>
      <c r="J15" s="52">
        <f t="shared" si="0"/>
        <v>4.0666666666666664</v>
      </c>
      <c r="K15" s="53" t="s">
        <v>74</v>
      </c>
      <c r="L15" s="53">
        <v>54366</v>
      </c>
      <c r="M15" s="54">
        <v>4224</v>
      </c>
      <c r="N15" s="54">
        <v>3398</v>
      </c>
      <c r="O15" s="54">
        <v>0</v>
      </c>
      <c r="P15" s="54">
        <f t="shared" si="1"/>
        <v>0</v>
      </c>
      <c r="Q15" s="54">
        <f t="shared" si="2"/>
        <v>2066.6100000000006</v>
      </c>
      <c r="R15" s="55">
        <f t="shared" si="3"/>
        <v>4.2339360233359109E-2</v>
      </c>
      <c r="S15" s="55">
        <f t="shared" si="4"/>
        <v>0.95766063976664084</v>
      </c>
      <c r="T15" s="56"/>
      <c r="V15" s="57"/>
      <c r="W15" s="58"/>
      <c r="X15" s="58"/>
      <c r="Y15" s="58"/>
      <c r="Z15" s="58"/>
      <c r="AA15" s="58"/>
      <c r="AB15" s="58">
        <f t="shared" si="5"/>
        <v>0</v>
      </c>
      <c r="AC15" s="58"/>
      <c r="AD15" s="59"/>
      <c r="AE15" s="60"/>
      <c r="AF15" s="61"/>
      <c r="AG15" s="59"/>
      <c r="AH15" s="60"/>
      <c r="AI15" s="62"/>
      <c r="AJ15" s="62">
        <f t="shared" si="6"/>
        <v>0</v>
      </c>
      <c r="AK15" s="63"/>
      <c r="AL15" s="64">
        <f t="shared" si="7"/>
        <v>0</v>
      </c>
      <c r="AP15" s="65">
        <f t="shared" si="8"/>
        <v>1</v>
      </c>
      <c r="AQ15" s="16">
        <f t="shared" si="9"/>
        <v>1</v>
      </c>
      <c r="AR15" s="16">
        <f t="shared" si="10"/>
        <v>1</v>
      </c>
      <c r="AS15" s="66">
        <f t="shared" si="11"/>
        <v>3398</v>
      </c>
      <c r="AT15" s="67">
        <f t="shared" si="12"/>
        <v>48810.61</v>
      </c>
      <c r="AU15" s="68">
        <f t="shared" si="13"/>
        <v>4.0666666666666664</v>
      </c>
      <c r="AV15" s="19">
        <f t="shared" si="14"/>
        <v>7.1292219746224312E-3</v>
      </c>
      <c r="AW15" s="69">
        <f t="shared" si="15"/>
        <v>3.018466973671189E-4</v>
      </c>
      <c r="AY15" s="65">
        <f t="shared" si="16"/>
        <v>0</v>
      </c>
      <c r="AZ15" s="16">
        <f t="shared" si="17"/>
        <v>1</v>
      </c>
      <c r="BA15" s="16">
        <f t="shared" si="18"/>
        <v>0</v>
      </c>
      <c r="BB15" s="70">
        <f t="shared" si="19"/>
        <v>0</v>
      </c>
      <c r="BC15" s="67">
        <f t="shared" si="20"/>
        <v>0</v>
      </c>
      <c r="BD15" s="71">
        <f t="shared" si="21"/>
        <v>0</v>
      </c>
      <c r="BE15" s="19">
        <f t="shared" si="22"/>
        <v>0</v>
      </c>
      <c r="BF15" s="69">
        <f t="shared" si="23"/>
        <v>0</v>
      </c>
      <c r="BH15" s="72">
        <f t="shared" si="24"/>
        <v>48810.61</v>
      </c>
      <c r="BI15" s="73">
        <f t="shared" si="25"/>
        <v>1</v>
      </c>
      <c r="BJ15" s="74">
        <f t="shared" si="26"/>
        <v>4.3393565718404126E-3</v>
      </c>
      <c r="BK15" s="75">
        <f t="shared" si="27"/>
        <v>1.8372558107614549E-4</v>
      </c>
      <c r="BM15" s="76">
        <f t="shared" si="28"/>
        <v>1</v>
      </c>
    </row>
    <row r="16" spans="1:72" ht="12.75" customHeight="1" x14ac:dyDescent="0.2">
      <c r="A16" s="47"/>
      <c r="B16" s="48" t="s">
        <v>75</v>
      </c>
      <c r="C16" s="49">
        <v>65000</v>
      </c>
      <c r="D16" s="50">
        <v>13</v>
      </c>
      <c r="E16" s="49">
        <v>64075.77</v>
      </c>
      <c r="F16" s="50" t="s">
        <v>55</v>
      </c>
      <c r="G16" s="51">
        <v>38078</v>
      </c>
      <c r="H16" s="52" t="s">
        <v>56</v>
      </c>
      <c r="I16" s="51">
        <v>38656</v>
      </c>
      <c r="J16" s="52">
        <f t="shared" si="0"/>
        <v>19.266666666666666</v>
      </c>
      <c r="K16" s="53" t="s">
        <v>68</v>
      </c>
      <c r="L16" s="53">
        <v>110000</v>
      </c>
      <c r="M16" s="54">
        <v>9562</v>
      </c>
      <c r="N16" s="54">
        <v>4600</v>
      </c>
      <c r="O16" s="54">
        <v>0</v>
      </c>
      <c r="P16" s="54">
        <f t="shared" si="1"/>
        <v>0</v>
      </c>
      <c r="Q16" s="54">
        <f t="shared" si="2"/>
        <v>0</v>
      </c>
      <c r="R16" s="55">
        <f t="shared" si="3"/>
        <v>0</v>
      </c>
      <c r="S16" s="55">
        <f t="shared" si="4"/>
        <v>1</v>
      </c>
      <c r="T16" s="56"/>
      <c r="V16" s="57"/>
      <c r="W16" s="58"/>
      <c r="X16" s="58"/>
      <c r="Y16" s="58"/>
      <c r="Z16" s="58"/>
      <c r="AA16" s="58"/>
      <c r="AB16" s="58">
        <f t="shared" si="5"/>
        <v>0</v>
      </c>
      <c r="AC16" s="58"/>
      <c r="AD16" s="59"/>
      <c r="AE16" s="60"/>
      <c r="AF16" s="61"/>
      <c r="AG16" s="59"/>
      <c r="AH16" s="60"/>
      <c r="AI16" s="62"/>
      <c r="AJ16" s="62">
        <f t="shared" si="6"/>
        <v>0</v>
      </c>
      <c r="AK16" s="63"/>
      <c r="AL16" s="64">
        <f t="shared" si="7"/>
        <v>0</v>
      </c>
      <c r="AP16" s="65">
        <f t="shared" si="8"/>
        <v>1</v>
      </c>
      <c r="AQ16" s="16">
        <f t="shared" si="9"/>
        <v>1</v>
      </c>
      <c r="AR16" s="16">
        <f t="shared" si="10"/>
        <v>1</v>
      </c>
      <c r="AS16" s="66">
        <f t="shared" si="11"/>
        <v>4600</v>
      </c>
      <c r="AT16" s="67">
        <f t="shared" si="12"/>
        <v>64075.77</v>
      </c>
      <c r="AU16" s="68">
        <f t="shared" si="13"/>
        <v>19.266666666666666</v>
      </c>
      <c r="AV16" s="19">
        <f t="shared" si="14"/>
        <v>9.3588338175829532E-3</v>
      </c>
      <c r="AW16" s="69">
        <f t="shared" si="15"/>
        <v>0</v>
      </c>
      <c r="AY16" s="65">
        <f t="shared" si="16"/>
        <v>0</v>
      </c>
      <c r="AZ16" s="16">
        <f t="shared" si="17"/>
        <v>1</v>
      </c>
      <c r="BA16" s="16">
        <f t="shared" si="18"/>
        <v>0</v>
      </c>
      <c r="BB16" s="70">
        <f t="shared" si="19"/>
        <v>0</v>
      </c>
      <c r="BC16" s="67">
        <f t="shared" si="20"/>
        <v>0</v>
      </c>
      <c r="BD16" s="71">
        <f t="shared" si="21"/>
        <v>0</v>
      </c>
      <c r="BE16" s="19">
        <f t="shared" si="22"/>
        <v>0</v>
      </c>
      <c r="BF16" s="69">
        <f t="shared" si="23"/>
        <v>0</v>
      </c>
      <c r="BH16" s="72">
        <f t="shared" si="24"/>
        <v>64075.77</v>
      </c>
      <c r="BI16" s="73">
        <f t="shared" si="25"/>
        <v>1</v>
      </c>
      <c r="BJ16" s="74">
        <f t="shared" si="26"/>
        <v>5.6964584881286006E-3</v>
      </c>
      <c r="BK16" s="75">
        <f t="shared" si="27"/>
        <v>0</v>
      </c>
      <c r="BM16" s="76">
        <f t="shared" si="28"/>
        <v>1</v>
      </c>
    </row>
    <row r="17" spans="1:65" ht="12.75" customHeight="1" x14ac:dyDescent="0.2">
      <c r="A17" s="47"/>
      <c r="B17" s="48" t="s">
        <v>76</v>
      </c>
      <c r="C17" s="49">
        <v>97500</v>
      </c>
      <c r="D17" s="50">
        <v>12</v>
      </c>
      <c r="E17" s="49">
        <f>29519.14+66282.22</f>
        <v>95801.36</v>
      </c>
      <c r="F17" s="50" t="s">
        <v>63</v>
      </c>
      <c r="G17" s="51">
        <v>38108</v>
      </c>
      <c r="H17" s="52" t="s">
        <v>56</v>
      </c>
      <c r="I17" s="51">
        <v>38322</v>
      </c>
      <c r="J17" s="52">
        <f t="shared" si="0"/>
        <v>7.1333333333333337</v>
      </c>
      <c r="K17" s="53" t="s">
        <v>68</v>
      </c>
      <c r="L17" s="53">
        <v>80000</v>
      </c>
      <c r="M17" s="54">
        <v>4064</v>
      </c>
      <c r="N17" s="54">
        <v>0</v>
      </c>
      <c r="O17" s="54">
        <v>0</v>
      </c>
      <c r="P17" s="54">
        <f t="shared" si="1"/>
        <v>15801.36</v>
      </c>
      <c r="Q17" s="54">
        <f t="shared" si="2"/>
        <v>19865.36</v>
      </c>
      <c r="R17" s="55">
        <f t="shared" si="3"/>
        <v>0.2073598955171409</v>
      </c>
      <c r="S17" s="55">
        <f t="shared" si="4"/>
        <v>0.79264010448285904</v>
      </c>
      <c r="T17" s="56"/>
      <c r="V17" s="57"/>
      <c r="W17" s="58"/>
      <c r="X17" s="58"/>
      <c r="Y17" s="58"/>
      <c r="Z17" s="58"/>
      <c r="AA17" s="58"/>
      <c r="AB17" s="58">
        <f t="shared" si="5"/>
        <v>0</v>
      </c>
      <c r="AC17" s="58"/>
      <c r="AD17" s="59"/>
      <c r="AE17" s="60"/>
      <c r="AF17" s="61"/>
      <c r="AG17" s="59"/>
      <c r="AH17" s="60"/>
      <c r="AI17" s="62"/>
      <c r="AJ17" s="62">
        <f t="shared" si="6"/>
        <v>0</v>
      </c>
      <c r="AK17" s="63"/>
      <c r="AL17" s="64">
        <f t="shared" si="7"/>
        <v>0</v>
      </c>
      <c r="AP17" s="65">
        <f t="shared" si="8"/>
        <v>0</v>
      </c>
      <c r="AQ17" s="16">
        <f t="shared" si="9"/>
        <v>1</v>
      </c>
      <c r="AR17" s="16">
        <f t="shared" si="10"/>
        <v>0</v>
      </c>
      <c r="AS17" s="66">
        <f t="shared" si="11"/>
        <v>0</v>
      </c>
      <c r="AT17" s="67">
        <f t="shared" si="12"/>
        <v>0</v>
      </c>
      <c r="AU17" s="68">
        <f t="shared" si="13"/>
        <v>0</v>
      </c>
      <c r="AV17" s="19">
        <f t="shared" si="14"/>
        <v>0</v>
      </c>
      <c r="AW17" s="69">
        <f t="shared" si="15"/>
        <v>0</v>
      </c>
      <c r="AY17" s="65">
        <f t="shared" si="16"/>
        <v>1</v>
      </c>
      <c r="AZ17" s="16">
        <f t="shared" si="17"/>
        <v>1</v>
      </c>
      <c r="BA17" s="16">
        <f t="shared" si="18"/>
        <v>1</v>
      </c>
      <c r="BB17" s="70">
        <f t="shared" si="19"/>
        <v>0</v>
      </c>
      <c r="BC17" s="67">
        <f t="shared" si="20"/>
        <v>95801.36</v>
      </c>
      <c r="BD17" s="71">
        <f t="shared" si="21"/>
        <v>7.1333333333333337</v>
      </c>
      <c r="BE17" s="19">
        <f t="shared" si="22"/>
        <v>2.1764147638420973E-2</v>
      </c>
      <c r="BF17" s="69">
        <f t="shared" si="23"/>
        <v>4.5130113803226023E-3</v>
      </c>
      <c r="BH17" s="72">
        <f t="shared" si="24"/>
        <v>95801.36</v>
      </c>
      <c r="BI17" s="73">
        <f t="shared" si="25"/>
        <v>1</v>
      </c>
      <c r="BJ17" s="74">
        <f t="shared" si="26"/>
        <v>8.5169241094763867E-3</v>
      </c>
      <c r="BK17" s="75">
        <f t="shared" si="27"/>
        <v>1.7660684934684419E-3</v>
      </c>
      <c r="BM17" s="76">
        <f t="shared" si="28"/>
        <v>1</v>
      </c>
    </row>
    <row r="18" spans="1:65" ht="12.75" customHeight="1" x14ac:dyDescent="0.2">
      <c r="A18" s="47"/>
      <c r="B18" s="48" t="s">
        <v>77</v>
      </c>
      <c r="C18" s="49">
        <v>21650.5</v>
      </c>
      <c r="D18" s="50">
        <v>13</v>
      </c>
      <c r="E18" s="49">
        <v>21574.19</v>
      </c>
      <c r="F18" s="50" t="s">
        <v>63</v>
      </c>
      <c r="G18" s="51">
        <v>38169</v>
      </c>
      <c r="H18" s="52" t="s">
        <v>56</v>
      </c>
      <c r="I18" s="51">
        <v>38322</v>
      </c>
      <c r="J18" s="52">
        <f t="shared" si="0"/>
        <v>5.0999999999999996</v>
      </c>
      <c r="K18" s="53" t="s">
        <v>78</v>
      </c>
      <c r="L18" s="53">
        <v>22790</v>
      </c>
      <c r="M18" s="54">
        <v>1314.69</v>
      </c>
      <c r="N18" s="54">
        <v>0</v>
      </c>
      <c r="O18" s="54">
        <v>0</v>
      </c>
      <c r="P18" s="54">
        <f t="shared" si="1"/>
        <v>0</v>
      </c>
      <c r="Q18" s="54">
        <f t="shared" si="2"/>
        <v>98.879999999998745</v>
      </c>
      <c r="R18" s="55">
        <f t="shared" si="3"/>
        <v>4.5832543423414158E-3</v>
      </c>
      <c r="S18" s="55">
        <f t="shared" si="4"/>
        <v>0.99541674565765859</v>
      </c>
      <c r="T18" s="56"/>
      <c r="V18" s="57"/>
      <c r="W18" s="58"/>
      <c r="X18" s="58"/>
      <c r="Y18" s="58"/>
      <c r="Z18" s="58"/>
      <c r="AA18" s="58"/>
      <c r="AB18" s="58">
        <f t="shared" si="5"/>
        <v>0</v>
      </c>
      <c r="AC18" s="58"/>
      <c r="AD18" s="59"/>
      <c r="AE18" s="60"/>
      <c r="AF18" s="61"/>
      <c r="AG18" s="59"/>
      <c r="AH18" s="60"/>
      <c r="AI18" s="62"/>
      <c r="AJ18" s="62">
        <f t="shared" si="6"/>
        <v>0</v>
      </c>
      <c r="AK18" s="63"/>
      <c r="AL18" s="64">
        <f t="shared" si="7"/>
        <v>0</v>
      </c>
      <c r="AP18" s="65">
        <f t="shared" si="8"/>
        <v>0</v>
      </c>
      <c r="AQ18" s="16">
        <f t="shared" si="9"/>
        <v>1</v>
      </c>
      <c r="AR18" s="16">
        <f t="shared" si="10"/>
        <v>0</v>
      </c>
      <c r="AS18" s="66">
        <f t="shared" si="11"/>
        <v>0</v>
      </c>
      <c r="AT18" s="67">
        <f t="shared" si="12"/>
        <v>0</v>
      </c>
      <c r="AU18" s="68">
        <f t="shared" si="13"/>
        <v>0</v>
      </c>
      <c r="AV18" s="19">
        <f t="shared" si="14"/>
        <v>0</v>
      </c>
      <c r="AW18" s="69">
        <f t="shared" si="15"/>
        <v>0</v>
      </c>
      <c r="AY18" s="65">
        <f t="shared" si="16"/>
        <v>1</v>
      </c>
      <c r="AZ18" s="16">
        <f t="shared" si="17"/>
        <v>1</v>
      </c>
      <c r="BA18" s="16">
        <f t="shared" si="18"/>
        <v>1</v>
      </c>
      <c r="BB18" s="70">
        <f t="shared" si="19"/>
        <v>0</v>
      </c>
      <c r="BC18" s="67">
        <f t="shared" si="20"/>
        <v>21574.19</v>
      </c>
      <c r="BD18" s="71">
        <f t="shared" si="21"/>
        <v>5.0999999999999996</v>
      </c>
      <c r="BE18" s="19">
        <f t="shared" si="22"/>
        <v>4.9012232847148035E-3</v>
      </c>
      <c r="BF18" s="69">
        <f t="shared" si="23"/>
        <v>2.2463552902453979E-5</v>
      </c>
      <c r="BH18" s="72">
        <f t="shared" si="24"/>
        <v>21574.19</v>
      </c>
      <c r="BI18" s="73">
        <f t="shared" si="25"/>
        <v>1</v>
      </c>
      <c r="BJ18" s="74">
        <f t="shared" si="26"/>
        <v>1.9179867483449544E-3</v>
      </c>
      <c r="BK18" s="75">
        <f t="shared" si="27"/>
        <v>8.7906210929053038E-6</v>
      </c>
      <c r="BM18" s="76">
        <f t="shared" si="28"/>
        <v>1</v>
      </c>
    </row>
    <row r="19" spans="1:65" ht="12.75" customHeight="1" x14ac:dyDescent="0.2">
      <c r="A19" s="47"/>
      <c r="B19" s="48" t="s">
        <v>79</v>
      </c>
      <c r="C19" s="49">
        <v>55005</v>
      </c>
      <c r="D19" s="50">
        <v>13</v>
      </c>
      <c r="E19" s="49">
        <v>47738.19</v>
      </c>
      <c r="F19" s="50" t="s">
        <v>63</v>
      </c>
      <c r="G19" s="51">
        <v>38231</v>
      </c>
      <c r="H19" s="52" t="s">
        <v>56</v>
      </c>
      <c r="I19" s="51">
        <v>38384</v>
      </c>
      <c r="J19" s="52">
        <f t="shared" si="0"/>
        <v>5.0999999999999996</v>
      </c>
      <c r="K19" s="53" t="s">
        <v>80</v>
      </c>
      <c r="L19" s="53">
        <v>48665.990000000005</v>
      </c>
      <c r="M19" s="54">
        <v>1357.8</v>
      </c>
      <c r="N19" s="54">
        <v>0</v>
      </c>
      <c r="O19" s="54">
        <v>0</v>
      </c>
      <c r="P19" s="54">
        <f t="shared" si="1"/>
        <v>0</v>
      </c>
      <c r="Q19" s="54">
        <f t="shared" si="2"/>
        <v>429.99999999999704</v>
      </c>
      <c r="R19" s="55">
        <f t="shared" si="3"/>
        <v>9.007463416606222E-3</v>
      </c>
      <c r="S19" s="55">
        <f t="shared" si="4"/>
        <v>0.99099253658339381</v>
      </c>
      <c r="T19" s="56"/>
      <c r="V19" s="57"/>
      <c r="W19" s="58"/>
      <c r="X19" s="58"/>
      <c r="Y19" s="58"/>
      <c r="Z19" s="58"/>
      <c r="AA19" s="58"/>
      <c r="AB19" s="58">
        <f t="shared" si="5"/>
        <v>0</v>
      </c>
      <c r="AC19" s="58"/>
      <c r="AD19" s="59"/>
      <c r="AE19" s="60"/>
      <c r="AF19" s="61"/>
      <c r="AG19" s="59"/>
      <c r="AH19" s="60"/>
      <c r="AI19" s="62"/>
      <c r="AJ19" s="62">
        <f t="shared" si="6"/>
        <v>0</v>
      </c>
      <c r="AK19" s="63"/>
      <c r="AL19" s="64">
        <f t="shared" si="7"/>
        <v>0</v>
      </c>
      <c r="AP19" s="65">
        <f t="shared" si="8"/>
        <v>0</v>
      </c>
      <c r="AQ19" s="16">
        <f t="shared" si="9"/>
        <v>1</v>
      </c>
      <c r="AR19" s="16">
        <f t="shared" si="10"/>
        <v>0</v>
      </c>
      <c r="AS19" s="66">
        <f t="shared" si="11"/>
        <v>0</v>
      </c>
      <c r="AT19" s="67">
        <f t="shared" si="12"/>
        <v>0</v>
      </c>
      <c r="AU19" s="68">
        <f t="shared" si="13"/>
        <v>0</v>
      </c>
      <c r="AV19" s="19">
        <f t="shared" si="14"/>
        <v>0</v>
      </c>
      <c r="AW19" s="69">
        <f t="shared" si="15"/>
        <v>0</v>
      </c>
      <c r="AY19" s="65">
        <f t="shared" si="16"/>
        <v>1</v>
      </c>
      <c r="AZ19" s="16">
        <f t="shared" si="17"/>
        <v>1</v>
      </c>
      <c r="BA19" s="16">
        <f t="shared" si="18"/>
        <v>1</v>
      </c>
      <c r="BB19" s="70">
        <f t="shared" si="19"/>
        <v>0</v>
      </c>
      <c r="BC19" s="67">
        <f t="shared" si="20"/>
        <v>47738.19</v>
      </c>
      <c r="BD19" s="71">
        <f t="shared" si="21"/>
        <v>5.0999999999999996</v>
      </c>
      <c r="BE19" s="19">
        <f t="shared" si="22"/>
        <v>1.0845159350044632E-2</v>
      </c>
      <c r="BF19" s="69">
        <f t="shared" si="23"/>
        <v>9.7687376092791934E-5</v>
      </c>
      <c r="BH19" s="72">
        <f t="shared" si="24"/>
        <v>47738.19</v>
      </c>
      <c r="BI19" s="73">
        <f t="shared" si="25"/>
        <v>1</v>
      </c>
      <c r="BJ19" s="74">
        <f t="shared" si="26"/>
        <v>4.2440163830008738E-3</v>
      </c>
      <c r="BK19" s="75">
        <f t="shared" si="27"/>
        <v>3.8227822309357832E-5</v>
      </c>
      <c r="BM19" s="76">
        <f t="shared" si="28"/>
        <v>1</v>
      </c>
    </row>
    <row r="20" spans="1:65" ht="12.75" customHeight="1" x14ac:dyDescent="0.2">
      <c r="A20" s="47"/>
      <c r="B20" s="48" t="s">
        <v>81</v>
      </c>
      <c r="C20" s="49">
        <v>34190.5</v>
      </c>
      <c r="D20" s="50">
        <v>10</v>
      </c>
      <c r="E20" s="49">
        <v>32818.31</v>
      </c>
      <c r="F20" s="50" t="s">
        <v>63</v>
      </c>
      <c r="G20" s="51">
        <v>38333</v>
      </c>
      <c r="H20" s="52" t="s">
        <v>56</v>
      </c>
      <c r="I20" s="51">
        <v>38473</v>
      </c>
      <c r="J20" s="52">
        <f t="shared" si="0"/>
        <v>4.666666666666667</v>
      </c>
      <c r="K20" s="53" t="s">
        <v>82</v>
      </c>
      <c r="L20" s="53">
        <v>34839</v>
      </c>
      <c r="M20" s="54">
        <v>1801.59</v>
      </c>
      <c r="N20" s="54">
        <v>217</v>
      </c>
      <c r="O20" s="54">
        <v>0</v>
      </c>
      <c r="P20" s="54">
        <f t="shared" si="1"/>
        <v>0</v>
      </c>
      <c r="Q20" s="54">
        <f t="shared" si="2"/>
        <v>0</v>
      </c>
      <c r="R20" s="55">
        <f t="shared" si="3"/>
        <v>0</v>
      </c>
      <c r="S20" s="55">
        <f t="shared" si="4"/>
        <v>1</v>
      </c>
      <c r="T20" s="56"/>
      <c r="V20" s="57"/>
      <c r="W20" s="58"/>
      <c r="X20" s="58"/>
      <c r="Y20" s="58"/>
      <c r="Z20" s="58"/>
      <c r="AA20" s="58"/>
      <c r="AB20" s="58">
        <f t="shared" si="5"/>
        <v>0</v>
      </c>
      <c r="AC20" s="58"/>
      <c r="AD20" s="59"/>
      <c r="AE20" s="60"/>
      <c r="AF20" s="61"/>
      <c r="AG20" s="59"/>
      <c r="AH20" s="60"/>
      <c r="AI20" s="62"/>
      <c r="AJ20" s="62">
        <f t="shared" si="6"/>
        <v>0</v>
      </c>
      <c r="AK20" s="63"/>
      <c r="AL20" s="64">
        <f t="shared" si="7"/>
        <v>0</v>
      </c>
      <c r="AP20" s="65">
        <f t="shared" si="8"/>
        <v>0</v>
      </c>
      <c r="AQ20" s="16">
        <f t="shared" si="9"/>
        <v>1</v>
      </c>
      <c r="AR20" s="16">
        <f t="shared" si="10"/>
        <v>0</v>
      </c>
      <c r="AS20" s="66">
        <f t="shared" si="11"/>
        <v>0</v>
      </c>
      <c r="AT20" s="67">
        <f t="shared" si="12"/>
        <v>0</v>
      </c>
      <c r="AU20" s="68">
        <f t="shared" si="13"/>
        <v>0</v>
      </c>
      <c r="AV20" s="19">
        <f t="shared" si="14"/>
        <v>0</v>
      </c>
      <c r="AW20" s="69">
        <f t="shared" si="15"/>
        <v>0</v>
      </c>
      <c r="AY20" s="65">
        <f t="shared" si="16"/>
        <v>1</v>
      </c>
      <c r="AZ20" s="16">
        <f t="shared" si="17"/>
        <v>1</v>
      </c>
      <c r="BA20" s="16">
        <f t="shared" si="18"/>
        <v>1</v>
      </c>
      <c r="BB20" s="70">
        <f t="shared" si="19"/>
        <v>217</v>
      </c>
      <c r="BC20" s="67">
        <f t="shared" si="20"/>
        <v>32818.31</v>
      </c>
      <c r="BD20" s="71">
        <f t="shared" si="21"/>
        <v>4.666666666666667</v>
      </c>
      <c r="BE20" s="19">
        <f t="shared" si="22"/>
        <v>7.4556618411624571E-3</v>
      </c>
      <c r="BF20" s="69">
        <f t="shared" si="23"/>
        <v>0</v>
      </c>
      <c r="BH20" s="72">
        <f t="shared" si="24"/>
        <v>32818.31</v>
      </c>
      <c r="BI20" s="73">
        <f t="shared" si="25"/>
        <v>1</v>
      </c>
      <c r="BJ20" s="74">
        <f t="shared" si="26"/>
        <v>2.9176105190079765E-3</v>
      </c>
      <c r="BK20" s="75">
        <f t="shared" si="27"/>
        <v>0</v>
      </c>
      <c r="BM20" s="76">
        <f t="shared" si="28"/>
        <v>1</v>
      </c>
    </row>
    <row r="21" spans="1:65" ht="12.75" customHeight="1" x14ac:dyDescent="0.2">
      <c r="A21" s="47"/>
      <c r="B21" s="48" t="s">
        <v>83</v>
      </c>
      <c r="C21" s="49">
        <v>60140</v>
      </c>
      <c r="D21" s="50">
        <v>13</v>
      </c>
      <c r="E21" s="49">
        <v>58657.3</v>
      </c>
      <c r="F21" s="50" t="s">
        <v>63</v>
      </c>
      <c r="G21" s="51">
        <v>38384</v>
      </c>
      <c r="H21" s="52" t="s">
        <v>56</v>
      </c>
      <c r="I21" s="51">
        <v>38626</v>
      </c>
      <c r="J21" s="52">
        <f t="shared" si="0"/>
        <v>8.0666666666666664</v>
      </c>
      <c r="K21" s="53" t="s">
        <v>84</v>
      </c>
      <c r="L21" s="53">
        <v>62000.3</v>
      </c>
      <c r="M21" s="54">
        <v>1931</v>
      </c>
      <c r="N21" s="54">
        <v>0</v>
      </c>
      <c r="O21" s="54">
        <v>1400</v>
      </c>
      <c r="P21" s="54">
        <f t="shared" si="1"/>
        <v>0</v>
      </c>
      <c r="Q21" s="54">
        <f t="shared" si="2"/>
        <v>0</v>
      </c>
      <c r="R21" s="55">
        <f t="shared" si="3"/>
        <v>0</v>
      </c>
      <c r="S21" s="55">
        <f t="shared" si="4"/>
        <v>1</v>
      </c>
      <c r="T21" s="56"/>
      <c r="V21" s="57"/>
      <c r="W21" s="58"/>
      <c r="X21" s="58"/>
      <c r="Y21" s="58"/>
      <c r="Z21" s="58"/>
      <c r="AA21" s="58"/>
      <c r="AB21" s="58">
        <f t="shared" si="5"/>
        <v>0</v>
      </c>
      <c r="AC21" s="58"/>
      <c r="AD21" s="59"/>
      <c r="AE21" s="60"/>
      <c r="AF21" s="61"/>
      <c r="AG21" s="59"/>
      <c r="AH21" s="60"/>
      <c r="AI21" s="62"/>
      <c r="AJ21" s="62">
        <f t="shared" si="6"/>
        <v>0</v>
      </c>
      <c r="AK21" s="63"/>
      <c r="AL21" s="64">
        <f t="shared" si="7"/>
        <v>0</v>
      </c>
      <c r="AP21" s="65">
        <f t="shared" si="8"/>
        <v>0</v>
      </c>
      <c r="AQ21" s="16">
        <f t="shared" si="9"/>
        <v>1</v>
      </c>
      <c r="AR21" s="16">
        <f t="shared" si="10"/>
        <v>0</v>
      </c>
      <c r="AS21" s="66">
        <f t="shared" si="11"/>
        <v>0</v>
      </c>
      <c r="AT21" s="67">
        <f t="shared" si="12"/>
        <v>0</v>
      </c>
      <c r="AU21" s="68">
        <f t="shared" si="13"/>
        <v>0</v>
      </c>
      <c r="AV21" s="19">
        <f t="shared" si="14"/>
        <v>0</v>
      </c>
      <c r="AW21" s="69">
        <f t="shared" si="15"/>
        <v>0</v>
      </c>
      <c r="AY21" s="65">
        <f t="shared" si="16"/>
        <v>1</v>
      </c>
      <c r="AZ21" s="16">
        <f t="shared" si="17"/>
        <v>1</v>
      </c>
      <c r="BA21" s="16">
        <f t="shared" si="18"/>
        <v>1</v>
      </c>
      <c r="BB21" s="70">
        <f t="shared" si="19"/>
        <v>1400</v>
      </c>
      <c r="BC21" s="67">
        <f t="shared" si="20"/>
        <v>58657.3</v>
      </c>
      <c r="BD21" s="71">
        <f t="shared" si="21"/>
        <v>8.0666666666666664</v>
      </c>
      <c r="BE21" s="19">
        <f t="shared" si="22"/>
        <v>1.3325762152762244E-2</v>
      </c>
      <c r="BF21" s="69">
        <f t="shared" si="23"/>
        <v>0</v>
      </c>
      <c r="BH21" s="72">
        <f t="shared" si="24"/>
        <v>58657.3</v>
      </c>
      <c r="BI21" s="73">
        <f t="shared" si="25"/>
        <v>1</v>
      </c>
      <c r="BJ21" s="74">
        <f t="shared" si="26"/>
        <v>5.2147461431318858E-3</v>
      </c>
      <c r="BK21" s="75">
        <f t="shared" si="27"/>
        <v>0</v>
      </c>
      <c r="BM21" s="76">
        <f t="shared" si="28"/>
        <v>1</v>
      </c>
    </row>
    <row r="22" spans="1:65" ht="12.75" customHeight="1" x14ac:dyDescent="0.2">
      <c r="A22" s="47"/>
      <c r="B22" s="48" t="s">
        <v>85</v>
      </c>
      <c r="C22" s="49">
        <v>39950</v>
      </c>
      <c r="D22" s="50">
        <v>10</v>
      </c>
      <c r="E22" s="49">
        <v>38393.07</v>
      </c>
      <c r="F22" s="50" t="s">
        <v>55</v>
      </c>
      <c r="G22" s="51">
        <v>38412</v>
      </c>
      <c r="H22" s="52" t="s">
        <v>56</v>
      </c>
      <c r="I22" s="51">
        <v>38443</v>
      </c>
      <c r="J22" s="52">
        <f t="shared" si="0"/>
        <v>1.0333333333333334</v>
      </c>
      <c r="K22" s="53" t="s">
        <v>86</v>
      </c>
      <c r="L22" s="53">
        <v>42392.07</v>
      </c>
      <c r="M22" s="54">
        <v>1889</v>
      </c>
      <c r="N22" s="54">
        <v>2680</v>
      </c>
      <c r="O22" s="54">
        <v>6023</v>
      </c>
      <c r="P22" s="54">
        <f t="shared" si="1"/>
        <v>0</v>
      </c>
      <c r="Q22" s="54">
        <f t="shared" si="2"/>
        <v>6593</v>
      </c>
      <c r="R22" s="55">
        <f t="shared" si="3"/>
        <v>0.17172369909465432</v>
      </c>
      <c r="S22" s="55">
        <f t="shared" si="4"/>
        <v>0.82827630090534565</v>
      </c>
      <c r="T22" s="56"/>
      <c r="V22" s="57"/>
      <c r="W22" s="58"/>
      <c r="X22" s="58"/>
      <c r="Y22" s="58"/>
      <c r="Z22" s="58"/>
      <c r="AA22" s="58"/>
      <c r="AB22" s="58">
        <f t="shared" si="5"/>
        <v>0</v>
      </c>
      <c r="AC22" s="58"/>
      <c r="AD22" s="59"/>
      <c r="AE22" s="60"/>
      <c r="AF22" s="61"/>
      <c r="AG22" s="59"/>
      <c r="AH22" s="60"/>
      <c r="AI22" s="62"/>
      <c r="AJ22" s="62">
        <f t="shared" si="6"/>
        <v>0</v>
      </c>
      <c r="AK22" s="63"/>
      <c r="AL22" s="64">
        <f t="shared" si="7"/>
        <v>0</v>
      </c>
      <c r="AP22" s="65">
        <f t="shared" si="8"/>
        <v>1</v>
      </c>
      <c r="AQ22" s="16">
        <f t="shared" si="9"/>
        <v>1</v>
      </c>
      <c r="AR22" s="16">
        <f t="shared" si="10"/>
        <v>1</v>
      </c>
      <c r="AS22" s="66">
        <f t="shared" si="11"/>
        <v>8703</v>
      </c>
      <c r="AT22" s="67">
        <f t="shared" si="12"/>
        <v>38393.07</v>
      </c>
      <c r="AU22" s="68">
        <f t="shared" si="13"/>
        <v>1.0333333333333334</v>
      </c>
      <c r="AV22" s="19">
        <f t="shared" si="14"/>
        <v>5.6076479748402488E-3</v>
      </c>
      <c r="AW22" s="69">
        <f t="shared" si="15"/>
        <v>9.6296605346021455E-4</v>
      </c>
      <c r="AY22" s="65">
        <f t="shared" si="16"/>
        <v>0</v>
      </c>
      <c r="AZ22" s="16">
        <f t="shared" si="17"/>
        <v>1</v>
      </c>
      <c r="BA22" s="16">
        <f t="shared" si="18"/>
        <v>0</v>
      </c>
      <c r="BB22" s="70">
        <f t="shared" si="19"/>
        <v>0</v>
      </c>
      <c r="BC22" s="67">
        <f t="shared" si="20"/>
        <v>0</v>
      </c>
      <c r="BD22" s="71">
        <f t="shared" si="21"/>
        <v>0</v>
      </c>
      <c r="BE22" s="19">
        <f t="shared" si="22"/>
        <v>0</v>
      </c>
      <c r="BF22" s="69">
        <f t="shared" si="23"/>
        <v>0</v>
      </c>
      <c r="BH22" s="72">
        <f t="shared" si="24"/>
        <v>38393.07</v>
      </c>
      <c r="BI22" s="73">
        <f t="shared" si="25"/>
        <v>1</v>
      </c>
      <c r="BJ22" s="74">
        <f t="shared" si="26"/>
        <v>3.4132173438854584E-3</v>
      </c>
      <c r="BK22" s="75">
        <f t="shared" si="27"/>
        <v>5.8613030810604168E-4</v>
      </c>
      <c r="BM22" s="76">
        <f t="shared" si="28"/>
        <v>1</v>
      </c>
    </row>
    <row r="23" spans="1:65" ht="12.75" customHeight="1" x14ac:dyDescent="0.2">
      <c r="A23" s="47"/>
      <c r="B23" s="48" t="s">
        <v>87</v>
      </c>
      <c r="C23" s="49">
        <v>15385.25</v>
      </c>
      <c r="D23" s="50">
        <v>13</v>
      </c>
      <c r="E23" s="49">
        <v>14672.88</v>
      </c>
      <c r="F23" s="50" t="s">
        <v>63</v>
      </c>
      <c r="G23" s="51">
        <v>38443</v>
      </c>
      <c r="H23" s="52" t="s">
        <v>56</v>
      </c>
      <c r="I23" s="51">
        <v>38899</v>
      </c>
      <c r="J23" s="52">
        <f t="shared" si="0"/>
        <v>15.2</v>
      </c>
      <c r="K23" s="53" t="s">
        <v>88</v>
      </c>
      <c r="L23" s="53">
        <v>15522</v>
      </c>
      <c r="M23" s="54">
        <v>366.61</v>
      </c>
      <c r="N23" s="54">
        <v>0</v>
      </c>
      <c r="O23" s="54">
        <v>376</v>
      </c>
      <c r="P23" s="54">
        <f t="shared" si="1"/>
        <v>0</v>
      </c>
      <c r="Q23" s="54">
        <f t="shared" si="2"/>
        <v>0</v>
      </c>
      <c r="R23" s="55">
        <f t="shared" si="3"/>
        <v>0</v>
      </c>
      <c r="S23" s="55">
        <f t="shared" si="4"/>
        <v>1</v>
      </c>
      <c r="T23" s="56"/>
      <c r="V23" s="57"/>
      <c r="W23" s="58"/>
      <c r="X23" s="58"/>
      <c r="Y23" s="58"/>
      <c r="Z23" s="58"/>
      <c r="AA23" s="58"/>
      <c r="AB23" s="58">
        <f t="shared" si="5"/>
        <v>0</v>
      </c>
      <c r="AC23" s="58"/>
      <c r="AD23" s="59"/>
      <c r="AE23" s="60"/>
      <c r="AF23" s="61"/>
      <c r="AG23" s="59"/>
      <c r="AH23" s="60"/>
      <c r="AI23" s="62"/>
      <c r="AJ23" s="62">
        <f t="shared" si="6"/>
        <v>0</v>
      </c>
      <c r="AK23" s="63"/>
      <c r="AL23" s="64">
        <f t="shared" si="7"/>
        <v>0</v>
      </c>
      <c r="AP23" s="65">
        <f t="shared" si="8"/>
        <v>0</v>
      </c>
      <c r="AQ23" s="16">
        <f t="shared" si="9"/>
        <v>1</v>
      </c>
      <c r="AR23" s="16">
        <f t="shared" si="10"/>
        <v>0</v>
      </c>
      <c r="AS23" s="66">
        <f t="shared" si="11"/>
        <v>0</v>
      </c>
      <c r="AT23" s="67">
        <f t="shared" si="12"/>
        <v>0</v>
      </c>
      <c r="AU23" s="68">
        <f t="shared" si="13"/>
        <v>0</v>
      </c>
      <c r="AV23" s="19">
        <f t="shared" si="14"/>
        <v>0</v>
      </c>
      <c r="AW23" s="69">
        <f t="shared" si="15"/>
        <v>0</v>
      </c>
      <c r="AY23" s="65">
        <f t="shared" si="16"/>
        <v>1</v>
      </c>
      <c r="AZ23" s="16">
        <f t="shared" si="17"/>
        <v>1</v>
      </c>
      <c r="BA23" s="16">
        <f t="shared" si="18"/>
        <v>1</v>
      </c>
      <c r="BB23" s="70">
        <f t="shared" si="19"/>
        <v>376</v>
      </c>
      <c r="BC23" s="67">
        <f t="shared" si="20"/>
        <v>14672.88</v>
      </c>
      <c r="BD23" s="71">
        <f t="shared" si="21"/>
        <v>15.2</v>
      </c>
      <c r="BE23" s="19">
        <f t="shared" si="22"/>
        <v>3.3333840626149185E-3</v>
      </c>
      <c r="BF23" s="69">
        <f t="shared" si="23"/>
        <v>0</v>
      </c>
      <c r="BH23" s="72">
        <f t="shared" si="24"/>
        <v>14672.88</v>
      </c>
      <c r="BI23" s="73">
        <f t="shared" si="25"/>
        <v>1</v>
      </c>
      <c r="BJ23" s="74">
        <f t="shared" si="26"/>
        <v>1.3044470916431029E-3</v>
      </c>
      <c r="BK23" s="75">
        <f t="shared" si="27"/>
        <v>0</v>
      </c>
      <c r="BM23" s="76">
        <f t="shared" si="28"/>
        <v>1</v>
      </c>
    </row>
    <row r="24" spans="1:65" ht="12.75" customHeight="1" x14ac:dyDescent="0.2">
      <c r="A24" s="47"/>
      <c r="B24" s="48" t="s">
        <v>89</v>
      </c>
      <c r="C24" s="49">
        <v>15152.5</v>
      </c>
      <c r="D24" s="50">
        <v>11</v>
      </c>
      <c r="E24" s="49">
        <v>14600.16</v>
      </c>
      <c r="F24" s="50" t="s">
        <v>63</v>
      </c>
      <c r="G24" s="51">
        <v>38443</v>
      </c>
      <c r="H24" s="52" t="s">
        <v>56</v>
      </c>
      <c r="I24" s="51">
        <v>39022</v>
      </c>
      <c r="J24" s="52">
        <f t="shared" si="0"/>
        <v>19.3</v>
      </c>
      <c r="K24" s="53" t="s">
        <v>90</v>
      </c>
      <c r="L24" s="53">
        <v>15526</v>
      </c>
      <c r="M24" s="54">
        <v>926.03</v>
      </c>
      <c r="N24" s="54">
        <v>0</v>
      </c>
      <c r="O24" s="54">
        <v>0</v>
      </c>
      <c r="P24" s="54">
        <f t="shared" si="1"/>
        <v>0</v>
      </c>
      <c r="Q24" s="54">
        <f t="shared" si="2"/>
        <v>0.1899999999998272</v>
      </c>
      <c r="R24" s="55">
        <f t="shared" si="3"/>
        <v>1.3013556015812648E-5</v>
      </c>
      <c r="S24" s="55">
        <f t="shared" si="4"/>
        <v>0.9999869864439842</v>
      </c>
      <c r="T24" s="56"/>
      <c r="V24" s="57"/>
      <c r="W24" s="58"/>
      <c r="X24" s="58"/>
      <c r="Y24" s="58"/>
      <c r="Z24" s="58"/>
      <c r="AA24" s="58"/>
      <c r="AB24" s="58">
        <f t="shared" si="5"/>
        <v>0</v>
      </c>
      <c r="AC24" s="58"/>
      <c r="AD24" s="59"/>
      <c r="AE24" s="60"/>
      <c r="AF24" s="61"/>
      <c r="AG24" s="59"/>
      <c r="AH24" s="60"/>
      <c r="AI24" s="62"/>
      <c r="AJ24" s="62">
        <f t="shared" si="6"/>
        <v>0</v>
      </c>
      <c r="AK24" s="63"/>
      <c r="AL24" s="64">
        <f t="shared" si="7"/>
        <v>0</v>
      </c>
      <c r="AP24" s="65">
        <f t="shared" si="8"/>
        <v>0</v>
      </c>
      <c r="AQ24" s="16">
        <f t="shared" si="9"/>
        <v>1</v>
      </c>
      <c r="AR24" s="16">
        <f t="shared" si="10"/>
        <v>0</v>
      </c>
      <c r="AS24" s="66">
        <f t="shared" si="11"/>
        <v>0</v>
      </c>
      <c r="AT24" s="67">
        <f t="shared" si="12"/>
        <v>0</v>
      </c>
      <c r="AU24" s="68">
        <f t="shared" si="13"/>
        <v>0</v>
      </c>
      <c r="AV24" s="19">
        <f t="shared" si="14"/>
        <v>0</v>
      </c>
      <c r="AW24" s="69">
        <f t="shared" si="15"/>
        <v>0</v>
      </c>
      <c r="AY24" s="65">
        <f t="shared" si="16"/>
        <v>1</v>
      </c>
      <c r="AZ24" s="16">
        <f t="shared" si="17"/>
        <v>1</v>
      </c>
      <c r="BA24" s="16">
        <f t="shared" si="18"/>
        <v>1</v>
      </c>
      <c r="BB24" s="70">
        <f t="shared" si="19"/>
        <v>0</v>
      </c>
      <c r="BC24" s="67">
        <f t="shared" si="20"/>
        <v>14600.16</v>
      </c>
      <c r="BD24" s="71">
        <f t="shared" si="21"/>
        <v>19.3</v>
      </c>
      <c r="BE24" s="19">
        <f t="shared" si="22"/>
        <v>3.3168635370580163E-3</v>
      </c>
      <c r="BF24" s="69">
        <f t="shared" si="23"/>
        <v>4.3164189436310965E-8</v>
      </c>
      <c r="BH24" s="72">
        <f t="shared" si="24"/>
        <v>14600.16</v>
      </c>
      <c r="BI24" s="73">
        <f t="shared" si="25"/>
        <v>1</v>
      </c>
      <c r="BJ24" s="74">
        <f t="shared" si="26"/>
        <v>1.297982144577204E-3</v>
      </c>
      <c r="BK24" s="75">
        <f t="shared" si="27"/>
        <v>1.6891363345980076E-8</v>
      </c>
      <c r="BM24" s="76">
        <f t="shared" si="28"/>
        <v>1</v>
      </c>
    </row>
    <row r="25" spans="1:65" ht="12.75" customHeight="1" x14ac:dyDescent="0.2">
      <c r="A25" s="47"/>
      <c r="B25" s="48" t="s">
        <v>91</v>
      </c>
      <c r="C25" s="49">
        <v>30772</v>
      </c>
      <c r="D25" s="50">
        <v>13</v>
      </c>
      <c r="E25" s="49">
        <v>30772</v>
      </c>
      <c r="F25" s="50" t="s">
        <v>63</v>
      </c>
      <c r="G25" s="51">
        <v>38534</v>
      </c>
      <c r="H25" s="52" t="s">
        <v>56</v>
      </c>
      <c r="I25" s="51">
        <v>39629</v>
      </c>
      <c r="J25" s="52">
        <f t="shared" si="0"/>
        <v>36.5</v>
      </c>
      <c r="K25" s="53" t="s">
        <v>92</v>
      </c>
      <c r="L25" s="53">
        <v>25700</v>
      </c>
      <c r="M25" s="54">
        <v>408.81</v>
      </c>
      <c r="N25" s="54">
        <v>0</v>
      </c>
      <c r="O25" s="54">
        <v>0</v>
      </c>
      <c r="P25" s="54">
        <f t="shared" si="1"/>
        <v>5072</v>
      </c>
      <c r="Q25" s="54">
        <f t="shared" si="2"/>
        <v>5480.81</v>
      </c>
      <c r="R25" s="55">
        <f t="shared" si="3"/>
        <v>0.17811029507344339</v>
      </c>
      <c r="S25" s="55">
        <f t="shared" si="4"/>
        <v>0.82188970492655655</v>
      </c>
      <c r="T25" s="56"/>
      <c r="V25" s="57"/>
      <c r="W25" s="58"/>
      <c r="X25" s="58"/>
      <c r="Y25" s="58"/>
      <c r="Z25" s="58"/>
      <c r="AA25" s="58"/>
      <c r="AB25" s="58">
        <f t="shared" si="5"/>
        <v>0</v>
      </c>
      <c r="AC25" s="58"/>
      <c r="AD25" s="59"/>
      <c r="AE25" s="60"/>
      <c r="AF25" s="61"/>
      <c r="AG25" s="59"/>
      <c r="AH25" s="60"/>
      <c r="AI25" s="62"/>
      <c r="AJ25" s="62">
        <f t="shared" si="6"/>
        <v>0</v>
      </c>
      <c r="AK25" s="63"/>
      <c r="AL25" s="64">
        <f t="shared" si="7"/>
        <v>0</v>
      </c>
      <c r="AP25" s="65">
        <f t="shared" si="8"/>
        <v>0</v>
      </c>
      <c r="AQ25" s="16">
        <f t="shared" si="9"/>
        <v>1</v>
      </c>
      <c r="AR25" s="16">
        <f t="shared" si="10"/>
        <v>0</v>
      </c>
      <c r="AS25" s="66">
        <f t="shared" si="11"/>
        <v>0</v>
      </c>
      <c r="AT25" s="67">
        <f t="shared" si="12"/>
        <v>0</v>
      </c>
      <c r="AU25" s="68">
        <f t="shared" si="13"/>
        <v>0</v>
      </c>
      <c r="AV25" s="19">
        <f t="shared" si="14"/>
        <v>0</v>
      </c>
      <c r="AW25" s="69">
        <f t="shared" si="15"/>
        <v>0</v>
      </c>
      <c r="AY25" s="65">
        <f t="shared" si="16"/>
        <v>1</v>
      </c>
      <c r="AZ25" s="16">
        <f t="shared" si="17"/>
        <v>1</v>
      </c>
      <c r="BA25" s="16">
        <f t="shared" si="18"/>
        <v>1</v>
      </c>
      <c r="BB25" s="70">
        <f t="shared" si="19"/>
        <v>0</v>
      </c>
      <c r="BC25" s="67">
        <f t="shared" si="20"/>
        <v>30772</v>
      </c>
      <c r="BD25" s="71">
        <f t="shared" si="21"/>
        <v>36.5</v>
      </c>
      <c r="BE25" s="19">
        <f t="shared" si="22"/>
        <v>6.9907812491335217E-3</v>
      </c>
      <c r="BF25" s="69">
        <f t="shared" si="23"/>
        <v>1.2451301110770667E-3</v>
      </c>
      <c r="BH25" s="72">
        <f t="shared" si="24"/>
        <v>30772</v>
      </c>
      <c r="BI25" s="73">
        <f t="shared" si="25"/>
        <v>1</v>
      </c>
      <c r="BJ25" s="74">
        <f t="shared" si="26"/>
        <v>2.7356896467524822E-3</v>
      </c>
      <c r="BK25" s="75">
        <f t="shared" si="27"/>
        <v>4.8725449021244871E-4</v>
      </c>
      <c r="BM25" s="76">
        <f t="shared" si="28"/>
        <v>1</v>
      </c>
    </row>
    <row r="26" spans="1:65" ht="12.75" customHeight="1" x14ac:dyDescent="0.2">
      <c r="A26" s="47"/>
      <c r="B26" s="48" t="s">
        <v>93</v>
      </c>
      <c r="C26" s="49">
        <v>55304.55</v>
      </c>
      <c r="D26" s="50">
        <v>13</v>
      </c>
      <c r="E26" s="49">
        <v>54029.91</v>
      </c>
      <c r="F26" s="50" t="s">
        <v>55</v>
      </c>
      <c r="G26" s="51">
        <v>38540</v>
      </c>
      <c r="H26" s="52" t="s">
        <v>56</v>
      </c>
      <c r="I26" s="51">
        <v>39569</v>
      </c>
      <c r="J26" s="52">
        <f t="shared" si="0"/>
        <v>34.299999999999997</v>
      </c>
      <c r="K26" s="53" t="s">
        <v>94</v>
      </c>
      <c r="L26" s="53">
        <v>59965.5</v>
      </c>
      <c r="M26" s="54">
        <v>6689</v>
      </c>
      <c r="N26" s="54">
        <v>3782</v>
      </c>
      <c r="O26" s="54">
        <v>2950</v>
      </c>
      <c r="P26" s="54">
        <f t="shared" si="1"/>
        <v>0</v>
      </c>
      <c r="Q26" s="54">
        <f t="shared" si="2"/>
        <v>7485.4100000000035</v>
      </c>
      <c r="R26" s="55">
        <f t="shared" si="3"/>
        <v>0.13854196684762204</v>
      </c>
      <c r="S26" s="55">
        <f t="shared" si="4"/>
        <v>0.86145803315237801</v>
      </c>
      <c r="T26" s="56"/>
      <c r="V26" s="57"/>
      <c r="W26" s="58"/>
      <c r="X26" s="58"/>
      <c r="Y26" s="58"/>
      <c r="Z26" s="58"/>
      <c r="AA26" s="58"/>
      <c r="AB26" s="58">
        <f t="shared" si="5"/>
        <v>0</v>
      </c>
      <c r="AC26" s="58"/>
      <c r="AD26" s="59"/>
      <c r="AE26" s="60"/>
      <c r="AF26" s="61"/>
      <c r="AG26" s="59"/>
      <c r="AH26" s="60"/>
      <c r="AI26" s="62"/>
      <c r="AJ26" s="62">
        <f t="shared" si="6"/>
        <v>0</v>
      </c>
      <c r="AK26" s="63"/>
      <c r="AL26" s="64">
        <f t="shared" si="7"/>
        <v>0</v>
      </c>
      <c r="AP26" s="65">
        <f t="shared" si="8"/>
        <v>1</v>
      </c>
      <c r="AQ26" s="16">
        <f t="shared" si="9"/>
        <v>1</v>
      </c>
      <c r="AR26" s="16">
        <f t="shared" si="10"/>
        <v>1</v>
      </c>
      <c r="AS26" s="66">
        <f t="shared" si="11"/>
        <v>6732</v>
      </c>
      <c r="AT26" s="67">
        <f t="shared" si="12"/>
        <v>54029.91</v>
      </c>
      <c r="AU26" s="68">
        <f t="shared" si="13"/>
        <v>34.299999999999997</v>
      </c>
      <c r="AV26" s="19">
        <f t="shared" si="14"/>
        <v>7.8915469742925209E-3</v>
      </c>
      <c r="AW26" s="69">
        <f t="shared" si="15"/>
        <v>1.0933104392888864E-3</v>
      </c>
      <c r="AY26" s="65">
        <f t="shared" si="16"/>
        <v>0</v>
      </c>
      <c r="AZ26" s="16">
        <f t="shared" si="17"/>
        <v>1</v>
      </c>
      <c r="BA26" s="16">
        <f t="shared" si="18"/>
        <v>0</v>
      </c>
      <c r="BB26" s="70">
        <f t="shared" si="19"/>
        <v>0</v>
      </c>
      <c r="BC26" s="67">
        <f t="shared" si="20"/>
        <v>0</v>
      </c>
      <c r="BD26" s="71">
        <f t="shared" si="21"/>
        <v>0</v>
      </c>
      <c r="BE26" s="19">
        <f t="shared" si="22"/>
        <v>0</v>
      </c>
      <c r="BF26" s="69">
        <f t="shared" si="23"/>
        <v>0</v>
      </c>
      <c r="BH26" s="72">
        <f t="shared" si="24"/>
        <v>54029.91</v>
      </c>
      <c r="BI26" s="73">
        <f t="shared" si="25"/>
        <v>1</v>
      </c>
      <c r="BJ26" s="74">
        <f t="shared" si="26"/>
        <v>4.8033623229549079E-3</v>
      </c>
      <c r="BK26" s="75">
        <f t="shared" si="27"/>
        <v>6.6546726370393563E-4</v>
      </c>
      <c r="BM26" s="76">
        <f t="shared" si="28"/>
        <v>1</v>
      </c>
    </row>
    <row r="27" spans="1:65" ht="12.75" customHeight="1" x14ac:dyDescent="0.2">
      <c r="A27" s="47"/>
      <c r="B27" s="48" t="s">
        <v>95</v>
      </c>
      <c r="C27" s="49">
        <v>35000</v>
      </c>
      <c r="D27" s="50">
        <v>12</v>
      </c>
      <c r="E27" s="49">
        <v>33829.82</v>
      </c>
      <c r="F27" s="50" t="s">
        <v>63</v>
      </c>
      <c r="G27" s="51">
        <v>38869</v>
      </c>
      <c r="H27" s="52" t="s">
        <v>56</v>
      </c>
      <c r="I27" s="51">
        <v>39203</v>
      </c>
      <c r="J27" s="52">
        <f t="shared" si="0"/>
        <v>11.133333333333333</v>
      </c>
      <c r="K27" s="53" t="s">
        <v>96</v>
      </c>
      <c r="L27" s="53">
        <v>36000</v>
      </c>
      <c r="M27" s="54">
        <v>2408.0300000000002</v>
      </c>
      <c r="N27" s="54">
        <v>0</v>
      </c>
      <c r="O27" s="54">
        <v>0</v>
      </c>
      <c r="P27" s="54">
        <f t="shared" si="1"/>
        <v>0</v>
      </c>
      <c r="Q27" s="54">
        <f t="shared" si="2"/>
        <v>237.84999999999991</v>
      </c>
      <c r="R27" s="55">
        <f t="shared" si="3"/>
        <v>7.0307793538363465E-3</v>
      </c>
      <c r="S27" s="55">
        <f t="shared" si="4"/>
        <v>0.99296922064616366</v>
      </c>
      <c r="T27" s="56"/>
      <c r="V27" s="57"/>
      <c r="W27" s="58"/>
      <c r="X27" s="58"/>
      <c r="Y27" s="58"/>
      <c r="Z27" s="58"/>
      <c r="AA27" s="58"/>
      <c r="AB27" s="58">
        <f t="shared" si="5"/>
        <v>0</v>
      </c>
      <c r="AC27" s="58"/>
      <c r="AD27" s="59"/>
      <c r="AE27" s="60"/>
      <c r="AF27" s="61"/>
      <c r="AG27" s="59"/>
      <c r="AH27" s="60"/>
      <c r="AI27" s="62"/>
      <c r="AJ27" s="62">
        <f t="shared" si="6"/>
        <v>0</v>
      </c>
      <c r="AK27" s="63"/>
      <c r="AL27" s="64">
        <f t="shared" si="7"/>
        <v>0</v>
      </c>
      <c r="AP27" s="65">
        <f t="shared" si="8"/>
        <v>0</v>
      </c>
      <c r="AQ27" s="16">
        <f t="shared" si="9"/>
        <v>1</v>
      </c>
      <c r="AR27" s="16">
        <f t="shared" si="10"/>
        <v>0</v>
      </c>
      <c r="AS27" s="66">
        <f t="shared" si="11"/>
        <v>0</v>
      </c>
      <c r="AT27" s="67">
        <f t="shared" si="12"/>
        <v>0</v>
      </c>
      <c r="AU27" s="68">
        <f t="shared" si="13"/>
        <v>0</v>
      </c>
      <c r="AV27" s="19">
        <f t="shared" si="14"/>
        <v>0</v>
      </c>
      <c r="AW27" s="69">
        <f t="shared" si="15"/>
        <v>0</v>
      </c>
      <c r="AY27" s="65">
        <f t="shared" si="16"/>
        <v>1</v>
      </c>
      <c r="AZ27" s="16">
        <f t="shared" si="17"/>
        <v>1</v>
      </c>
      <c r="BA27" s="16">
        <f t="shared" si="18"/>
        <v>1</v>
      </c>
      <c r="BB27" s="70">
        <f t="shared" si="19"/>
        <v>0</v>
      </c>
      <c r="BC27" s="67">
        <f t="shared" si="20"/>
        <v>33829.82</v>
      </c>
      <c r="BD27" s="71">
        <f t="shared" si="21"/>
        <v>11.133333333333333</v>
      </c>
      <c r="BE27" s="19">
        <f t="shared" si="22"/>
        <v>7.6854566267243662E-3</v>
      </c>
      <c r="BF27" s="69">
        <f t="shared" si="23"/>
        <v>5.403474977597841E-5</v>
      </c>
      <c r="BH27" s="72">
        <f t="shared" si="24"/>
        <v>33829.82</v>
      </c>
      <c r="BI27" s="73">
        <f t="shared" si="25"/>
        <v>1</v>
      </c>
      <c r="BJ27" s="74">
        <f t="shared" si="26"/>
        <v>3.0075356923664389E-3</v>
      </c>
      <c r="BK27" s="75">
        <f t="shared" si="27"/>
        <v>2.1145319851815862E-5</v>
      </c>
      <c r="BM27" s="76">
        <f t="shared" si="28"/>
        <v>1</v>
      </c>
    </row>
    <row r="28" spans="1:65" ht="12.75" customHeight="1" x14ac:dyDescent="0.2">
      <c r="A28" s="47"/>
      <c r="B28" s="48" t="s">
        <v>97</v>
      </c>
      <c r="C28" s="49">
        <v>19701</v>
      </c>
      <c r="D28" s="50">
        <v>6</v>
      </c>
      <c r="E28" s="49">
        <v>19701</v>
      </c>
      <c r="F28" s="50" t="s">
        <v>63</v>
      </c>
      <c r="G28" s="51">
        <v>38899</v>
      </c>
      <c r="H28" s="52" t="s">
        <v>56</v>
      </c>
      <c r="I28" s="51">
        <v>39326</v>
      </c>
      <c r="J28" s="52">
        <f t="shared" si="0"/>
        <v>14.233333333333333</v>
      </c>
      <c r="K28" s="53" t="s">
        <v>98</v>
      </c>
      <c r="L28" s="53">
        <v>20000</v>
      </c>
      <c r="M28" s="54">
        <v>294.98</v>
      </c>
      <c r="N28" s="54">
        <v>0</v>
      </c>
      <c r="O28" s="54">
        <v>1950</v>
      </c>
      <c r="P28" s="54">
        <f t="shared" si="1"/>
        <v>0</v>
      </c>
      <c r="Q28" s="54">
        <f t="shared" si="2"/>
        <v>1945.98</v>
      </c>
      <c r="R28" s="55">
        <f t="shared" si="3"/>
        <v>9.8775696665143908E-2</v>
      </c>
      <c r="S28" s="55">
        <f t="shared" si="4"/>
        <v>0.90122430333485615</v>
      </c>
      <c r="T28" s="56"/>
      <c r="V28" s="57"/>
      <c r="W28" s="58"/>
      <c r="X28" s="58"/>
      <c r="Y28" s="58"/>
      <c r="Z28" s="58"/>
      <c r="AA28" s="58"/>
      <c r="AB28" s="58">
        <f t="shared" si="5"/>
        <v>0</v>
      </c>
      <c r="AC28" s="58"/>
      <c r="AD28" s="59"/>
      <c r="AE28" s="60"/>
      <c r="AF28" s="61"/>
      <c r="AG28" s="59"/>
      <c r="AH28" s="60"/>
      <c r="AI28" s="62"/>
      <c r="AJ28" s="62">
        <f t="shared" si="6"/>
        <v>0</v>
      </c>
      <c r="AK28" s="63"/>
      <c r="AL28" s="64">
        <f t="shared" si="7"/>
        <v>0</v>
      </c>
      <c r="AP28" s="65">
        <f t="shared" si="8"/>
        <v>0</v>
      </c>
      <c r="AQ28" s="16">
        <f t="shared" si="9"/>
        <v>1</v>
      </c>
      <c r="AR28" s="16">
        <f t="shared" si="10"/>
        <v>0</v>
      </c>
      <c r="AS28" s="66">
        <f t="shared" si="11"/>
        <v>0</v>
      </c>
      <c r="AT28" s="67">
        <f t="shared" si="12"/>
        <v>0</v>
      </c>
      <c r="AU28" s="68">
        <f t="shared" si="13"/>
        <v>0</v>
      </c>
      <c r="AV28" s="19">
        <f t="shared" si="14"/>
        <v>0</v>
      </c>
      <c r="AW28" s="69">
        <f t="shared" si="15"/>
        <v>0</v>
      </c>
      <c r="AY28" s="65">
        <f t="shared" si="16"/>
        <v>1</v>
      </c>
      <c r="AZ28" s="16">
        <f t="shared" si="17"/>
        <v>1</v>
      </c>
      <c r="BA28" s="16">
        <f t="shared" si="18"/>
        <v>1</v>
      </c>
      <c r="BB28" s="70">
        <f t="shared" si="19"/>
        <v>1950</v>
      </c>
      <c r="BC28" s="67">
        <f t="shared" si="20"/>
        <v>19701</v>
      </c>
      <c r="BD28" s="71">
        <f t="shared" si="21"/>
        <v>14.233333333333333</v>
      </c>
      <c r="BE28" s="19">
        <f t="shared" si="22"/>
        <v>4.4756720846607151E-3</v>
      </c>
      <c r="BF28" s="69">
        <f t="shared" si="23"/>
        <v>4.4208762820709905E-4</v>
      </c>
      <c r="BH28" s="72">
        <f t="shared" si="24"/>
        <v>19701</v>
      </c>
      <c r="BI28" s="73">
        <f t="shared" si="25"/>
        <v>1</v>
      </c>
      <c r="BJ28" s="74">
        <f t="shared" si="26"/>
        <v>1.7514565751550323E-3</v>
      </c>
      <c r="BK28" s="75">
        <f t="shared" si="27"/>
        <v>1.730013433896853E-4</v>
      </c>
      <c r="BM28" s="76">
        <f t="shared" si="28"/>
        <v>1</v>
      </c>
    </row>
    <row r="29" spans="1:65" ht="12.75" customHeight="1" x14ac:dyDescent="0.2">
      <c r="A29" s="47"/>
      <c r="B29" s="48" t="s">
        <v>99</v>
      </c>
      <c r="C29" s="49">
        <v>35102.5</v>
      </c>
      <c r="D29" s="50">
        <v>13</v>
      </c>
      <c r="E29" s="49">
        <v>33695.19</v>
      </c>
      <c r="F29" s="50" t="s">
        <v>55</v>
      </c>
      <c r="G29" s="51">
        <v>38930</v>
      </c>
      <c r="H29" s="52" t="s">
        <v>56</v>
      </c>
      <c r="I29" s="51">
        <v>39629</v>
      </c>
      <c r="J29" s="52">
        <f t="shared" si="0"/>
        <v>23.3</v>
      </c>
      <c r="K29" s="53" t="s">
        <v>100</v>
      </c>
      <c r="L29" s="53">
        <v>33695</v>
      </c>
      <c r="M29" s="54">
        <v>3324.55</v>
      </c>
      <c r="N29" s="54">
        <v>2750</v>
      </c>
      <c r="O29" s="54">
        <v>0</v>
      </c>
      <c r="P29" s="54">
        <f t="shared" si="1"/>
        <v>0.19000000000232831</v>
      </c>
      <c r="Q29" s="54">
        <f t="shared" si="2"/>
        <v>6074.7400000000025</v>
      </c>
      <c r="R29" s="55">
        <f t="shared" si="3"/>
        <v>0.18028507926502277</v>
      </c>
      <c r="S29" s="55">
        <f t="shared" si="4"/>
        <v>0.8197149207349772</v>
      </c>
      <c r="T29" s="56"/>
      <c r="V29" s="57"/>
      <c r="W29" s="58"/>
      <c r="X29" s="58"/>
      <c r="Y29" s="58"/>
      <c r="Z29" s="58"/>
      <c r="AA29" s="58"/>
      <c r="AB29" s="58">
        <f t="shared" si="5"/>
        <v>0</v>
      </c>
      <c r="AC29" s="58"/>
      <c r="AD29" s="59"/>
      <c r="AE29" s="60"/>
      <c r="AF29" s="61"/>
      <c r="AG29" s="59"/>
      <c r="AH29" s="60"/>
      <c r="AI29" s="62"/>
      <c r="AJ29" s="62">
        <f t="shared" si="6"/>
        <v>0</v>
      </c>
      <c r="AK29" s="63"/>
      <c r="AL29" s="64">
        <f t="shared" si="7"/>
        <v>0</v>
      </c>
      <c r="AP29" s="65">
        <f t="shared" si="8"/>
        <v>1</v>
      </c>
      <c r="AQ29" s="16">
        <f t="shared" si="9"/>
        <v>1</v>
      </c>
      <c r="AR29" s="16">
        <f t="shared" si="10"/>
        <v>1</v>
      </c>
      <c r="AS29" s="66">
        <f t="shared" si="11"/>
        <v>2750</v>
      </c>
      <c r="AT29" s="67">
        <f t="shared" si="12"/>
        <v>33695.19</v>
      </c>
      <c r="AU29" s="68">
        <f t="shared" si="13"/>
        <v>23.3</v>
      </c>
      <c r="AV29" s="19">
        <f t="shared" si="14"/>
        <v>4.9214809851193825E-3</v>
      </c>
      <c r="AW29" s="69">
        <f t="shared" si="15"/>
        <v>8.8726958950355024E-4</v>
      </c>
      <c r="AY29" s="65">
        <f t="shared" si="16"/>
        <v>0</v>
      </c>
      <c r="AZ29" s="16">
        <f t="shared" si="17"/>
        <v>1</v>
      </c>
      <c r="BA29" s="16">
        <f t="shared" si="18"/>
        <v>0</v>
      </c>
      <c r="BB29" s="70">
        <f t="shared" si="19"/>
        <v>0</v>
      </c>
      <c r="BC29" s="67">
        <f t="shared" si="20"/>
        <v>0</v>
      </c>
      <c r="BD29" s="71">
        <f t="shared" si="21"/>
        <v>0</v>
      </c>
      <c r="BE29" s="19">
        <f t="shared" si="22"/>
        <v>0</v>
      </c>
      <c r="BF29" s="69">
        <f t="shared" si="23"/>
        <v>0</v>
      </c>
      <c r="BH29" s="72">
        <f t="shared" si="24"/>
        <v>33695.19</v>
      </c>
      <c r="BI29" s="73">
        <f t="shared" si="25"/>
        <v>1</v>
      </c>
      <c r="BJ29" s="74">
        <f t="shared" si="26"/>
        <v>2.9955668279071164E-3</v>
      </c>
      <c r="BK29" s="75">
        <f t="shared" si="27"/>
        <v>5.4005600301290733E-4</v>
      </c>
      <c r="BM29" s="76">
        <f t="shared" si="28"/>
        <v>1</v>
      </c>
    </row>
    <row r="30" spans="1:65" ht="12.75" customHeight="1" x14ac:dyDescent="0.2">
      <c r="A30" s="47"/>
      <c r="B30" s="48" t="s">
        <v>101</v>
      </c>
      <c r="C30" s="49">
        <v>15324.14</v>
      </c>
      <c r="D30" s="50">
        <v>9</v>
      </c>
      <c r="E30" s="49">
        <v>15288.41</v>
      </c>
      <c r="F30" s="50" t="s">
        <v>63</v>
      </c>
      <c r="G30" s="51">
        <v>39052</v>
      </c>
      <c r="H30" s="52" t="s">
        <v>56</v>
      </c>
      <c r="I30" s="51">
        <v>39326</v>
      </c>
      <c r="J30" s="52">
        <f t="shared" si="0"/>
        <v>9.1333333333333329</v>
      </c>
      <c r="K30" s="53" t="s">
        <v>102</v>
      </c>
      <c r="L30" s="53">
        <v>15288</v>
      </c>
      <c r="M30" s="54">
        <v>606.4</v>
      </c>
      <c r="N30" s="54">
        <v>0</v>
      </c>
      <c r="O30" s="54">
        <v>0</v>
      </c>
      <c r="P30" s="54">
        <f t="shared" si="1"/>
        <v>0.40999999999985448</v>
      </c>
      <c r="Q30" s="54">
        <f t="shared" si="2"/>
        <v>606.80999999999983</v>
      </c>
      <c r="R30" s="55">
        <f t="shared" si="3"/>
        <v>3.969085078173596E-2</v>
      </c>
      <c r="S30" s="55">
        <f t="shared" si="4"/>
        <v>0.96030914921826405</v>
      </c>
      <c r="T30" s="56"/>
      <c r="V30" s="57"/>
      <c r="W30" s="58"/>
      <c r="X30" s="58"/>
      <c r="Y30" s="58"/>
      <c r="Z30" s="58"/>
      <c r="AA30" s="58"/>
      <c r="AB30" s="58">
        <f t="shared" si="5"/>
        <v>0</v>
      </c>
      <c r="AC30" s="58"/>
      <c r="AD30" s="59"/>
      <c r="AE30" s="60"/>
      <c r="AF30" s="61"/>
      <c r="AG30" s="59"/>
      <c r="AH30" s="60"/>
      <c r="AI30" s="62"/>
      <c r="AJ30" s="62">
        <f t="shared" si="6"/>
        <v>0</v>
      </c>
      <c r="AK30" s="63"/>
      <c r="AL30" s="64">
        <f t="shared" si="7"/>
        <v>0</v>
      </c>
      <c r="AP30" s="65">
        <f t="shared" si="8"/>
        <v>0</v>
      </c>
      <c r="AQ30" s="16">
        <f t="shared" si="9"/>
        <v>1</v>
      </c>
      <c r="AR30" s="16">
        <f t="shared" si="10"/>
        <v>0</v>
      </c>
      <c r="AS30" s="66">
        <f t="shared" si="11"/>
        <v>0</v>
      </c>
      <c r="AT30" s="67">
        <f t="shared" si="12"/>
        <v>0</v>
      </c>
      <c r="AU30" s="68">
        <f t="shared" si="13"/>
        <v>0</v>
      </c>
      <c r="AV30" s="19">
        <f t="shared" si="14"/>
        <v>0</v>
      </c>
      <c r="AW30" s="69">
        <f t="shared" si="15"/>
        <v>0</v>
      </c>
      <c r="AY30" s="65">
        <f t="shared" si="16"/>
        <v>1</v>
      </c>
      <c r="AZ30" s="16">
        <f t="shared" si="17"/>
        <v>1</v>
      </c>
      <c r="BA30" s="16">
        <f t="shared" si="18"/>
        <v>1</v>
      </c>
      <c r="BB30" s="70">
        <f t="shared" si="19"/>
        <v>0</v>
      </c>
      <c r="BC30" s="67">
        <f t="shared" si="20"/>
        <v>15288.41</v>
      </c>
      <c r="BD30" s="71">
        <f t="shared" si="21"/>
        <v>9.1333333333333329</v>
      </c>
      <c r="BE30" s="19">
        <f t="shared" si="22"/>
        <v>3.473220133792585E-3</v>
      </c>
      <c r="BF30" s="69">
        <f t="shared" si="23"/>
        <v>1.378550620624825E-4</v>
      </c>
      <c r="BH30" s="72">
        <f t="shared" si="24"/>
        <v>15288.41</v>
      </c>
      <c r="BI30" s="73">
        <f t="shared" si="25"/>
        <v>1</v>
      </c>
      <c r="BJ30" s="74">
        <f t="shared" si="26"/>
        <v>1.3591688857502637E-3</v>
      </c>
      <c r="BK30" s="75">
        <f t="shared" si="27"/>
        <v>5.3946569431492053E-5</v>
      </c>
      <c r="BM30" s="76">
        <f t="shared" si="28"/>
        <v>1</v>
      </c>
    </row>
    <row r="31" spans="1:65" ht="12.75" customHeight="1" x14ac:dyDescent="0.2">
      <c r="A31" s="47"/>
      <c r="B31" s="48" t="s">
        <v>103</v>
      </c>
      <c r="C31" s="49">
        <v>17484.39</v>
      </c>
      <c r="D31" s="50">
        <v>10</v>
      </c>
      <c r="E31" s="49">
        <v>17084.349999999999</v>
      </c>
      <c r="F31" s="50" t="s">
        <v>63</v>
      </c>
      <c r="G31" s="51">
        <v>39052</v>
      </c>
      <c r="H31" s="52" t="s">
        <v>56</v>
      </c>
      <c r="I31" s="51">
        <v>39356</v>
      </c>
      <c r="J31" s="52">
        <f t="shared" si="0"/>
        <v>10.133333333333333</v>
      </c>
      <c r="K31" s="53" t="s">
        <v>104</v>
      </c>
      <c r="L31" s="53">
        <v>17084.349999999999</v>
      </c>
      <c r="M31" s="54">
        <v>482</v>
      </c>
      <c r="N31" s="54">
        <v>0</v>
      </c>
      <c r="O31" s="54">
        <v>0</v>
      </c>
      <c r="P31" s="54">
        <f t="shared" si="1"/>
        <v>0</v>
      </c>
      <c r="Q31" s="54">
        <f t="shared" si="2"/>
        <v>482</v>
      </c>
      <c r="R31" s="55">
        <f t="shared" si="3"/>
        <v>2.8212955131450716E-2</v>
      </c>
      <c r="S31" s="55">
        <f t="shared" si="4"/>
        <v>0.97178704486854928</v>
      </c>
      <c r="T31" s="56"/>
      <c r="V31" s="57"/>
      <c r="W31" s="58"/>
      <c r="X31" s="58"/>
      <c r="Y31" s="58"/>
      <c r="Z31" s="58"/>
      <c r="AA31" s="58"/>
      <c r="AB31" s="58">
        <f t="shared" si="5"/>
        <v>0</v>
      </c>
      <c r="AC31" s="58"/>
      <c r="AD31" s="59"/>
      <c r="AE31" s="60"/>
      <c r="AF31" s="61"/>
      <c r="AG31" s="59"/>
      <c r="AH31" s="60"/>
      <c r="AI31" s="62"/>
      <c r="AJ31" s="62">
        <f t="shared" si="6"/>
        <v>0</v>
      </c>
      <c r="AK31" s="63"/>
      <c r="AL31" s="64">
        <f t="shared" si="7"/>
        <v>0</v>
      </c>
      <c r="AP31" s="65">
        <f t="shared" si="8"/>
        <v>0</v>
      </c>
      <c r="AQ31" s="16">
        <f t="shared" si="9"/>
        <v>1</v>
      </c>
      <c r="AR31" s="16">
        <f t="shared" si="10"/>
        <v>0</v>
      </c>
      <c r="AS31" s="66">
        <f t="shared" si="11"/>
        <v>0</v>
      </c>
      <c r="AT31" s="67">
        <f t="shared" si="12"/>
        <v>0</v>
      </c>
      <c r="AU31" s="68">
        <f t="shared" si="13"/>
        <v>0</v>
      </c>
      <c r="AV31" s="19">
        <f t="shared" si="14"/>
        <v>0</v>
      </c>
      <c r="AW31" s="69">
        <f t="shared" si="15"/>
        <v>0</v>
      </c>
      <c r="AY31" s="65">
        <f t="shared" si="16"/>
        <v>1</v>
      </c>
      <c r="AZ31" s="16">
        <f t="shared" si="17"/>
        <v>1</v>
      </c>
      <c r="BA31" s="16">
        <f t="shared" si="18"/>
        <v>1</v>
      </c>
      <c r="BB31" s="70">
        <f t="shared" si="19"/>
        <v>0</v>
      </c>
      <c r="BC31" s="67">
        <f t="shared" si="20"/>
        <v>17084.349999999999</v>
      </c>
      <c r="BD31" s="71">
        <f t="shared" si="21"/>
        <v>10.133333333333333</v>
      </c>
      <c r="BE31" s="19">
        <f t="shared" si="22"/>
        <v>3.8812216831416312E-3</v>
      </c>
      <c r="BF31" s="69">
        <f t="shared" si="23"/>
        <v>1.0950073320168847E-4</v>
      </c>
      <c r="BH31" s="72">
        <f t="shared" si="24"/>
        <v>17084.349999999999</v>
      </c>
      <c r="BI31" s="73">
        <f t="shared" si="25"/>
        <v>1</v>
      </c>
      <c r="BJ31" s="74">
        <f t="shared" si="26"/>
        <v>1.5188313862113535E-3</v>
      </c>
      <c r="BK31" s="75">
        <f t="shared" si="27"/>
        <v>4.2850721751420007E-5</v>
      </c>
      <c r="BM31" s="76">
        <f t="shared" si="28"/>
        <v>1</v>
      </c>
    </row>
    <row r="32" spans="1:65" ht="12.75" customHeight="1" x14ac:dyDescent="0.2">
      <c r="A32" s="47"/>
      <c r="B32" s="48" t="s">
        <v>105</v>
      </c>
      <c r="C32" s="49">
        <v>19902.5</v>
      </c>
      <c r="D32" s="50">
        <v>13</v>
      </c>
      <c r="E32" s="49">
        <v>17315.75</v>
      </c>
      <c r="F32" s="50" t="s">
        <v>55</v>
      </c>
      <c r="G32" s="51">
        <v>39083</v>
      </c>
      <c r="H32" s="52" t="s">
        <v>56</v>
      </c>
      <c r="I32" s="51">
        <v>39568</v>
      </c>
      <c r="J32" s="52">
        <f t="shared" si="0"/>
        <v>16.166666666666668</v>
      </c>
      <c r="K32" s="53" t="s">
        <v>106</v>
      </c>
      <c r="L32" s="53">
        <v>20815.75</v>
      </c>
      <c r="M32" s="54">
        <v>633.95000000000005</v>
      </c>
      <c r="N32" s="54">
        <v>2847.15</v>
      </c>
      <c r="O32" s="54">
        <v>0</v>
      </c>
      <c r="P32" s="54">
        <f t="shared" si="1"/>
        <v>0</v>
      </c>
      <c r="Q32" s="54">
        <f t="shared" si="2"/>
        <v>0</v>
      </c>
      <c r="R32" s="55">
        <f t="shared" si="3"/>
        <v>0</v>
      </c>
      <c r="S32" s="55">
        <f t="shared" si="4"/>
        <v>1</v>
      </c>
      <c r="T32" s="56"/>
      <c r="V32" s="57"/>
      <c r="W32" s="58"/>
      <c r="X32" s="58"/>
      <c r="Y32" s="58"/>
      <c r="Z32" s="58"/>
      <c r="AA32" s="58"/>
      <c r="AB32" s="58">
        <f t="shared" si="5"/>
        <v>0</v>
      </c>
      <c r="AC32" s="58"/>
      <c r="AD32" s="59"/>
      <c r="AE32" s="60"/>
      <c r="AF32" s="61"/>
      <c r="AG32" s="59"/>
      <c r="AH32" s="60"/>
      <c r="AI32" s="62"/>
      <c r="AJ32" s="62">
        <f t="shared" si="6"/>
        <v>0</v>
      </c>
      <c r="AK32" s="63"/>
      <c r="AL32" s="64">
        <f t="shared" si="7"/>
        <v>0</v>
      </c>
      <c r="AP32" s="65">
        <f t="shared" si="8"/>
        <v>1</v>
      </c>
      <c r="AQ32" s="16">
        <f t="shared" si="9"/>
        <v>1</v>
      </c>
      <c r="AR32" s="16">
        <f t="shared" si="10"/>
        <v>1</v>
      </c>
      <c r="AS32" s="66">
        <f t="shared" si="11"/>
        <v>2847.15</v>
      </c>
      <c r="AT32" s="67">
        <f t="shared" si="12"/>
        <v>17315.75</v>
      </c>
      <c r="AU32" s="68">
        <f t="shared" si="13"/>
        <v>16.166666666666668</v>
      </c>
      <c r="AV32" s="19">
        <f t="shared" si="14"/>
        <v>2.5291186774160034E-3</v>
      </c>
      <c r="AW32" s="69">
        <f t="shared" si="15"/>
        <v>0</v>
      </c>
      <c r="AY32" s="65">
        <f t="shared" si="16"/>
        <v>0</v>
      </c>
      <c r="AZ32" s="16">
        <f t="shared" si="17"/>
        <v>1</v>
      </c>
      <c r="BA32" s="16">
        <f t="shared" si="18"/>
        <v>0</v>
      </c>
      <c r="BB32" s="70">
        <f t="shared" si="19"/>
        <v>0</v>
      </c>
      <c r="BC32" s="67">
        <f t="shared" si="20"/>
        <v>0</v>
      </c>
      <c r="BD32" s="71">
        <f t="shared" si="21"/>
        <v>0</v>
      </c>
      <c r="BE32" s="19">
        <f t="shared" si="22"/>
        <v>0</v>
      </c>
      <c r="BF32" s="69">
        <f t="shared" si="23"/>
        <v>0</v>
      </c>
      <c r="BH32" s="72">
        <f t="shared" si="24"/>
        <v>17315.75</v>
      </c>
      <c r="BI32" s="73">
        <f t="shared" si="25"/>
        <v>1</v>
      </c>
      <c r="BJ32" s="74">
        <f t="shared" si="26"/>
        <v>1.5394032887285291E-3</v>
      </c>
      <c r="BK32" s="75">
        <f t="shared" si="27"/>
        <v>0</v>
      </c>
      <c r="BM32" s="76">
        <f t="shared" si="28"/>
        <v>1</v>
      </c>
    </row>
    <row r="33" spans="1:65" ht="12.75" customHeight="1" x14ac:dyDescent="0.2">
      <c r="A33" s="47"/>
      <c r="B33" s="48" t="s">
        <v>107</v>
      </c>
      <c r="C33" s="49">
        <v>29925</v>
      </c>
      <c r="D33" s="50">
        <v>13</v>
      </c>
      <c r="E33" s="49">
        <v>25643.41</v>
      </c>
      <c r="F33" s="50" t="s">
        <v>55</v>
      </c>
      <c r="G33" s="51">
        <v>39127</v>
      </c>
      <c r="H33" s="52" t="s">
        <v>56</v>
      </c>
      <c r="I33" s="51">
        <v>39587</v>
      </c>
      <c r="J33" s="52">
        <f t="shared" si="0"/>
        <v>15.333333333333334</v>
      </c>
      <c r="K33" s="53" t="s">
        <v>108</v>
      </c>
      <c r="L33" s="53">
        <v>31085.53</v>
      </c>
      <c r="M33" s="54">
        <v>2411.1799999999998</v>
      </c>
      <c r="N33" s="54">
        <v>4262.28</v>
      </c>
      <c r="O33" s="54">
        <v>0</v>
      </c>
      <c r="P33" s="54">
        <f t="shared" si="1"/>
        <v>0</v>
      </c>
      <c r="Q33" s="54">
        <f t="shared" si="2"/>
        <v>1231.3400000000006</v>
      </c>
      <c r="R33" s="55">
        <f t="shared" si="3"/>
        <v>4.8017794825259225E-2</v>
      </c>
      <c r="S33" s="55">
        <f t="shared" si="4"/>
        <v>0.95198220517474075</v>
      </c>
      <c r="T33" s="56"/>
      <c r="V33" s="57"/>
      <c r="W33" s="58"/>
      <c r="X33" s="58"/>
      <c r="Y33" s="58"/>
      <c r="Z33" s="58"/>
      <c r="AA33" s="58"/>
      <c r="AB33" s="58">
        <f t="shared" si="5"/>
        <v>0</v>
      </c>
      <c r="AC33" s="58"/>
      <c r="AD33" s="59"/>
      <c r="AE33" s="60"/>
      <c r="AF33" s="61"/>
      <c r="AG33" s="59"/>
      <c r="AH33" s="60"/>
      <c r="AI33" s="62"/>
      <c r="AJ33" s="62">
        <f t="shared" si="6"/>
        <v>0</v>
      </c>
      <c r="AK33" s="63"/>
      <c r="AL33" s="64">
        <f t="shared" si="7"/>
        <v>0</v>
      </c>
      <c r="AP33" s="65">
        <f t="shared" si="8"/>
        <v>1</v>
      </c>
      <c r="AQ33" s="16">
        <f t="shared" si="9"/>
        <v>1</v>
      </c>
      <c r="AR33" s="16">
        <f t="shared" si="10"/>
        <v>1</v>
      </c>
      <c r="AS33" s="66">
        <f t="shared" si="11"/>
        <v>4262.28</v>
      </c>
      <c r="AT33" s="67">
        <f t="shared" si="12"/>
        <v>25643.41</v>
      </c>
      <c r="AU33" s="68">
        <f t="shared" si="13"/>
        <v>15.333333333333334</v>
      </c>
      <c r="AV33" s="19">
        <f t="shared" si="14"/>
        <v>3.7454471901959959E-3</v>
      </c>
      <c r="AW33" s="69">
        <f t="shared" si="15"/>
        <v>1.79848114707675E-4</v>
      </c>
      <c r="AY33" s="65">
        <f t="shared" si="16"/>
        <v>0</v>
      </c>
      <c r="AZ33" s="16">
        <f t="shared" si="17"/>
        <v>1</v>
      </c>
      <c r="BA33" s="16">
        <f t="shared" si="18"/>
        <v>0</v>
      </c>
      <c r="BB33" s="70">
        <f t="shared" si="19"/>
        <v>0</v>
      </c>
      <c r="BC33" s="67">
        <f t="shared" si="20"/>
        <v>0</v>
      </c>
      <c r="BD33" s="71">
        <f t="shared" si="21"/>
        <v>0</v>
      </c>
      <c r="BE33" s="19">
        <f t="shared" si="22"/>
        <v>0</v>
      </c>
      <c r="BF33" s="69">
        <f t="shared" si="23"/>
        <v>0</v>
      </c>
      <c r="BH33" s="72">
        <f t="shared" si="24"/>
        <v>25643.41</v>
      </c>
      <c r="BI33" s="73">
        <f t="shared" si="25"/>
        <v>1</v>
      </c>
      <c r="BJ33" s="74">
        <f t="shared" si="26"/>
        <v>2.2797481881070151E-3</v>
      </c>
      <c r="BK33" s="75">
        <f t="shared" si="27"/>
        <v>1.0946848074977913E-4</v>
      </c>
      <c r="BM33" s="76">
        <f t="shared" si="28"/>
        <v>1</v>
      </c>
    </row>
    <row r="34" spans="1:65" ht="12.75" customHeight="1" x14ac:dyDescent="0.2">
      <c r="A34" s="47"/>
      <c r="B34" s="48" t="s">
        <v>109</v>
      </c>
      <c r="C34" s="49">
        <v>21384</v>
      </c>
      <c r="D34" s="50">
        <v>7</v>
      </c>
      <c r="E34" s="49">
        <v>21136.560000000001</v>
      </c>
      <c r="F34" s="50" t="s">
        <v>63</v>
      </c>
      <c r="G34" s="51">
        <v>39142</v>
      </c>
      <c r="H34" s="52" t="s">
        <v>56</v>
      </c>
      <c r="I34" s="51">
        <v>39234</v>
      </c>
      <c r="J34" s="52">
        <f t="shared" si="0"/>
        <v>3.0666666666666669</v>
      </c>
      <c r="K34" s="53" t="s">
        <v>110</v>
      </c>
      <c r="L34" s="53">
        <v>21136.560000000001</v>
      </c>
      <c r="M34" s="54">
        <v>1952</v>
      </c>
      <c r="N34" s="54">
        <v>0</v>
      </c>
      <c r="O34" s="54">
        <v>0</v>
      </c>
      <c r="P34" s="54">
        <f t="shared" si="1"/>
        <v>0</v>
      </c>
      <c r="Q34" s="54">
        <f t="shared" si="2"/>
        <v>1952</v>
      </c>
      <c r="R34" s="55">
        <f t="shared" si="3"/>
        <v>9.2351830193749596E-2</v>
      </c>
      <c r="S34" s="55">
        <f t="shared" si="4"/>
        <v>0.9076481698062504</v>
      </c>
      <c r="T34" s="56"/>
      <c r="V34" s="57"/>
      <c r="W34" s="58"/>
      <c r="X34" s="58"/>
      <c r="Y34" s="58"/>
      <c r="Z34" s="58"/>
      <c r="AA34" s="58"/>
      <c r="AB34" s="58">
        <f t="shared" si="5"/>
        <v>0</v>
      </c>
      <c r="AC34" s="58"/>
      <c r="AD34" s="59"/>
      <c r="AE34" s="60"/>
      <c r="AF34" s="61"/>
      <c r="AG34" s="59"/>
      <c r="AH34" s="60"/>
      <c r="AI34" s="62"/>
      <c r="AJ34" s="62">
        <f t="shared" si="6"/>
        <v>0</v>
      </c>
      <c r="AK34" s="63"/>
      <c r="AL34" s="64">
        <f t="shared" si="7"/>
        <v>0</v>
      </c>
      <c r="AP34" s="65">
        <f t="shared" si="8"/>
        <v>0</v>
      </c>
      <c r="AQ34" s="16">
        <f t="shared" si="9"/>
        <v>1</v>
      </c>
      <c r="AR34" s="16">
        <f t="shared" si="10"/>
        <v>0</v>
      </c>
      <c r="AS34" s="66">
        <f t="shared" si="11"/>
        <v>0</v>
      </c>
      <c r="AT34" s="67">
        <f t="shared" si="12"/>
        <v>0</v>
      </c>
      <c r="AU34" s="68">
        <f t="shared" si="13"/>
        <v>0</v>
      </c>
      <c r="AV34" s="19">
        <f t="shared" si="14"/>
        <v>0</v>
      </c>
      <c r="AW34" s="69">
        <f t="shared" si="15"/>
        <v>0</v>
      </c>
      <c r="AY34" s="65">
        <f t="shared" si="16"/>
        <v>1</v>
      </c>
      <c r="AZ34" s="16">
        <f t="shared" si="17"/>
        <v>1</v>
      </c>
      <c r="BA34" s="16">
        <f t="shared" si="18"/>
        <v>1</v>
      </c>
      <c r="BB34" s="70">
        <f t="shared" si="19"/>
        <v>0</v>
      </c>
      <c r="BC34" s="67">
        <f t="shared" si="20"/>
        <v>21136.560000000001</v>
      </c>
      <c r="BD34" s="71">
        <f t="shared" si="21"/>
        <v>3.0666666666666669</v>
      </c>
      <c r="BE34" s="19">
        <f t="shared" si="22"/>
        <v>4.8018025256462253E-3</v>
      </c>
      <c r="BF34" s="69">
        <f t="shared" si="23"/>
        <v>4.4345525147239812E-4</v>
      </c>
      <c r="BH34" s="72">
        <f t="shared" si="24"/>
        <v>21136.560000000001</v>
      </c>
      <c r="BI34" s="73">
        <f t="shared" si="25"/>
        <v>1</v>
      </c>
      <c r="BJ34" s="74">
        <f t="shared" si="26"/>
        <v>1.8790806044443862E-3</v>
      </c>
      <c r="BK34" s="75">
        <f t="shared" si="27"/>
        <v>1.7353653290201631E-4</v>
      </c>
      <c r="BM34" s="76">
        <f t="shared" si="28"/>
        <v>1</v>
      </c>
    </row>
    <row r="35" spans="1:65" ht="12.75" customHeight="1" x14ac:dyDescent="0.2">
      <c r="A35" s="47"/>
      <c r="B35" s="48" t="s">
        <v>111</v>
      </c>
      <c r="C35" s="49">
        <v>25740</v>
      </c>
      <c r="D35" s="50">
        <v>4</v>
      </c>
      <c r="E35" s="49">
        <v>25492.79</v>
      </c>
      <c r="F35" s="50" t="s">
        <v>63</v>
      </c>
      <c r="G35" s="51">
        <v>39142</v>
      </c>
      <c r="H35" s="52" t="s">
        <v>56</v>
      </c>
      <c r="I35" s="51">
        <v>39264</v>
      </c>
      <c r="J35" s="52">
        <f t="shared" si="0"/>
        <v>4.0666666666666664</v>
      </c>
      <c r="K35" s="53" t="s">
        <v>112</v>
      </c>
      <c r="L35" s="53">
        <v>25492.79</v>
      </c>
      <c r="M35" s="54">
        <v>386</v>
      </c>
      <c r="N35" s="54">
        <v>0</v>
      </c>
      <c r="O35" s="54">
        <v>182.91</v>
      </c>
      <c r="P35" s="54">
        <f t="shared" si="1"/>
        <v>0</v>
      </c>
      <c r="Q35" s="54">
        <f t="shared" si="2"/>
        <v>568.91</v>
      </c>
      <c r="R35" s="55">
        <f t="shared" si="3"/>
        <v>2.2316505961097233E-2</v>
      </c>
      <c r="S35" s="55">
        <f t="shared" si="4"/>
        <v>0.97768349403890276</v>
      </c>
      <c r="T35" s="56"/>
      <c r="V35" s="57"/>
      <c r="W35" s="58"/>
      <c r="X35" s="58"/>
      <c r="Y35" s="58"/>
      <c r="Z35" s="58"/>
      <c r="AA35" s="58"/>
      <c r="AB35" s="58">
        <f t="shared" si="5"/>
        <v>0</v>
      </c>
      <c r="AC35" s="58"/>
      <c r="AD35" s="59"/>
      <c r="AE35" s="60"/>
      <c r="AF35" s="61"/>
      <c r="AG35" s="59"/>
      <c r="AH35" s="60"/>
      <c r="AI35" s="62"/>
      <c r="AJ35" s="62">
        <f t="shared" si="6"/>
        <v>0</v>
      </c>
      <c r="AK35" s="63"/>
      <c r="AL35" s="64">
        <f t="shared" si="7"/>
        <v>0</v>
      </c>
      <c r="AP35" s="65">
        <f t="shared" si="8"/>
        <v>0</v>
      </c>
      <c r="AQ35" s="16">
        <f t="shared" si="9"/>
        <v>1</v>
      </c>
      <c r="AR35" s="16">
        <f t="shared" si="10"/>
        <v>0</v>
      </c>
      <c r="AS35" s="66">
        <f t="shared" si="11"/>
        <v>0</v>
      </c>
      <c r="AT35" s="67">
        <f t="shared" si="12"/>
        <v>0</v>
      </c>
      <c r="AU35" s="68">
        <f t="shared" si="13"/>
        <v>0</v>
      </c>
      <c r="AV35" s="19">
        <f t="shared" si="14"/>
        <v>0</v>
      </c>
      <c r="AW35" s="69">
        <f t="shared" si="15"/>
        <v>0</v>
      </c>
      <c r="AY35" s="65">
        <f t="shared" si="16"/>
        <v>1</v>
      </c>
      <c r="AZ35" s="16">
        <f t="shared" si="17"/>
        <v>1</v>
      </c>
      <c r="BA35" s="16">
        <f t="shared" si="18"/>
        <v>1</v>
      </c>
      <c r="BB35" s="70">
        <f t="shared" si="19"/>
        <v>182.91</v>
      </c>
      <c r="BC35" s="67">
        <f t="shared" si="20"/>
        <v>25492.79</v>
      </c>
      <c r="BD35" s="71">
        <f t="shared" si="21"/>
        <v>4.0666666666666664</v>
      </c>
      <c r="BE35" s="19">
        <f t="shared" si="22"/>
        <v>5.7914506148478671E-3</v>
      </c>
      <c r="BF35" s="69">
        <f t="shared" si="23"/>
        <v>1.2924494216965266E-4</v>
      </c>
      <c r="BH35" s="72">
        <f t="shared" si="24"/>
        <v>25492.79</v>
      </c>
      <c r="BI35" s="73">
        <f t="shared" si="25"/>
        <v>1</v>
      </c>
      <c r="BJ35" s="74">
        <f t="shared" si="26"/>
        <v>2.2663577820692584E-3</v>
      </c>
      <c r="BK35" s="75">
        <f t="shared" si="27"/>
        <v>5.0577186953527712E-5</v>
      </c>
      <c r="BM35" s="76">
        <f t="shared" si="28"/>
        <v>1</v>
      </c>
    </row>
    <row r="36" spans="1:65" ht="12.75" customHeight="1" x14ac:dyDescent="0.2">
      <c r="A36" s="47"/>
      <c r="B36" s="48" t="s">
        <v>113</v>
      </c>
      <c r="C36" s="49">
        <v>20760.3</v>
      </c>
      <c r="D36" s="50">
        <v>12</v>
      </c>
      <c r="E36" s="49">
        <v>20582.46</v>
      </c>
      <c r="F36" s="50" t="s">
        <v>63</v>
      </c>
      <c r="G36" s="51">
        <v>39203</v>
      </c>
      <c r="H36" s="52" t="s">
        <v>56</v>
      </c>
      <c r="I36" s="51">
        <v>39234</v>
      </c>
      <c r="J36" s="52">
        <f t="shared" si="0"/>
        <v>1.0333333333333334</v>
      </c>
      <c r="K36" s="53" t="s">
        <v>114</v>
      </c>
      <c r="L36" s="53">
        <v>20852.46</v>
      </c>
      <c r="M36" s="54">
        <v>879</v>
      </c>
      <c r="N36" s="54">
        <v>0</v>
      </c>
      <c r="O36" s="54">
        <v>0</v>
      </c>
      <c r="P36" s="54">
        <f t="shared" si="1"/>
        <v>0</v>
      </c>
      <c r="Q36" s="54">
        <f t="shared" si="2"/>
        <v>609</v>
      </c>
      <c r="R36" s="55">
        <f t="shared" si="3"/>
        <v>2.95882999408234E-2</v>
      </c>
      <c r="S36" s="55">
        <f t="shared" si="4"/>
        <v>0.97041170005917665</v>
      </c>
      <c r="T36" s="56"/>
      <c r="V36" s="57"/>
      <c r="W36" s="58"/>
      <c r="X36" s="58"/>
      <c r="Y36" s="58"/>
      <c r="Z36" s="58"/>
      <c r="AA36" s="58"/>
      <c r="AB36" s="58">
        <f t="shared" si="5"/>
        <v>0</v>
      </c>
      <c r="AC36" s="58"/>
      <c r="AD36" s="59"/>
      <c r="AE36" s="60"/>
      <c r="AF36" s="61"/>
      <c r="AG36" s="59"/>
      <c r="AH36" s="60"/>
      <c r="AI36" s="62"/>
      <c r="AJ36" s="62">
        <f t="shared" si="6"/>
        <v>0</v>
      </c>
      <c r="AK36" s="63"/>
      <c r="AL36" s="64">
        <f t="shared" si="7"/>
        <v>0</v>
      </c>
      <c r="AP36" s="65">
        <f t="shared" si="8"/>
        <v>0</v>
      </c>
      <c r="AQ36" s="16">
        <f t="shared" si="9"/>
        <v>1</v>
      </c>
      <c r="AR36" s="16">
        <f t="shared" si="10"/>
        <v>0</v>
      </c>
      <c r="AS36" s="66">
        <f t="shared" si="11"/>
        <v>0</v>
      </c>
      <c r="AT36" s="67">
        <f t="shared" si="12"/>
        <v>0</v>
      </c>
      <c r="AU36" s="68">
        <f t="shared" si="13"/>
        <v>0</v>
      </c>
      <c r="AV36" s="19">
        <f t="shared" si="14"/>
        <v>0</v>
      </c>
      <c r="AW36" s="69">
        <f t="shared" si="15"/>
        <v>0</v>
      </c>
      <c r="AY36" s="65">
        <f t="shared" si="16"/>
        <v>1</v>
      </c>
      <c r="AZ36" s="16">
        <f t="shared" si="17"/>
        <v>1</v>
      </c>
      <c r="BA36" s="16">
        <f t="shared" si="18"/>
        <v>1</v>
      </c>
      <c r="BB36" s="70">
        <f t="shared" si="19"/>
        <v>0</v>
      </c>
      <c r="BC36" s="67">
        <f t="shared" si="20"/>
        <v>20582.46</v>
      </c>
      <c r="BD36" s="71">
        <f t="shared" si="21"/>
        <v>1.0333333333333334</v>
      </c>
      <c r="BE36" s="19">
        <f t="shared" si="22"/>
        <v>4.675922118453163E-3</v>
      </c>
      <c r="BF36" s="69">
        <f t="shared" si="23"/>
        <v>1.3835258614072255E-4</v>
      </c>
      <c r="BH36" s="72">
        <f t="shared" si="24"/>
        <v>20582.46</v>
      </c>
      <c r="BI36" s="73">
        <f t="shared" si="25"/>
        <v>1</v>
      </c>
      <c r="BJ36" s="74">
        <f t="shared" si="26"/>
        <v>1.8298200548127225E-3</v>
      </c>
      <c r="BK36" s="75">
        <f t="shared" si="27"/>
        <v>5.414126461953275E-5</v>
      </c>
      <c r="BM36" s="76">
        <f t="shared" si="28"/>
        <v>1</v>
      </c>
    </row>
    <row r="37" spans="1:65" ht="12.75" customHeight="1" x14ac:dyDescent="0.2">
      <c r="A37" s="47"/>
      <c r="B37" s="48" t="s">
        <v>115</v>
      </c>
      <c r="C37" s="49">
        <v>34435</v>
      </c>
      <c r="D37" s="50">
        <v>11</v>
      </c>
      <c r="E37" s="49">
        <v>32676.58</v>
      </c>
      <c r="F37" s="50" t="s">
        <v>63</v>
      </c>
      <c r="G37" s="51">
        <v>39234</v>
      </c>
      <c r="H37" s="52" t="s">
        <v>56</v>
      </c>
      <c r="I37" s="51">
        <v>39234</v>
      </c>
      <c r="J37" s="52">
        <f t="shared" si="0"/>
        <v>0</v>
      </c>
      <c r="K37" s="53" t="s">
        <v>116</v>
      </c>
      <c r="L37" s="53">
        <v>32676.58</v>
      </c>
      <c r="M37" s="54">
        <v>1269</v>
      </c>
      <c r="N37" s="54">
        <v>0</v>
      </c>
      <c r="O37" s="54">
        <v>0</v>
      </c>
      <c r="P37" s="54">
        <f t="shared" si="1"/>
        <v>0</v>
      </c>
      <c r="Q37" s="54">
        <f t="shared" si="2"/>
        <v>1269</v>
      </c>
      <c r="R37" s="55">
        <f t="shared" si="3"/>
        <v>3.8835153495255618E-2</v>
      </c>
      <c r="S37" s="55">
        <f t="shared" si="4"/>
        <v>0.96116484650474443</v>
      </c>
      <c r="T37" s="56"/>
      <c r="V37" s="57"/>
      <c r="W37" s="58"/>
      <c r="X37" s="58"/>
      <c r="Y37" s="58"/>
      <c r="Z37" s="58"/>
      <c r="AA37" s="58"/>
      <c r="AB37" s="58">
        <f t="shared" si="5"/>
        <v>0</v>
      </c>
      <c r="AC37" s="58"/>
      <c r="AD37" s="59"/>
      <c r="AE37" s="60"/>
      <c r="AF37" s="61"/>
      <c r="AG37" s="59"/>
      <c r="AH37" s="60"/>
      <c r="AI37" s="62"/>
      <c r="AJ37" s="62">
        <f t="shared" si="6"/>
        <v>0</v>
      </c>
      <c r="AK37" s="63"/>
      <c r="AL37" s="64">
        <f t="shared" si="7"/>
        <v>0</v>
      </c>
      <c r="AP37" s="65">
        <f t="shared" si="8"/>
        <v>0</v>
      </c>
      <c r="AQ37" s="16">
        <f t="shared" si="9"/>
        <v>1</v>
      </c>
      <c r="AR37" s="16">
        <f t="shared" si="10"/>
        <v>0</v>
      </c>
      <c r="AS37" s="66">
        <f t="shared" si="11"/>
        <v>0</v>
      </c>
      <c r="AT37" s="67">
        <f t="shared" si="12"/>
        <v>0</v>
      </c>
      <c r="AU37" s="68">
        <f t="shared" si="13"/>
        <v>0</v>
      </c>
      <c r="AV37" s="19">
        <f t="shared" si="14"/>
        <v>0</v>
      </c>
      <c r="AW37" s="69">
        <f t="shared" si="15"/>
        <v>0</v>
      </c>
      <c r="AY37" s="65">
        <f t="shared" si="16"/>
        <v>1</v>
      </c>
      <c r="AZ37" s="16">
        <f t="shared" si="17"/>
        <v>1</v>
      </c>
      <c r="BA37" s="16">
        <f t="shared" si="18"/>
        <v>1</v>
      </c>
      <c r="BB37" s="70">
        <f t="shared" si="19"/>
        <v>0</v>
      </c>
      <c r="BC37" s="67">
        <f t="shared" si="20"/>
        <v>32676.58</v>
      </c>
      <c r="BD37" s="71">
        <f t="shared" si="21"/>
        <v>0</v>
      </c>
      <c r="BE37" s="19">
        <f t="shared" si="22"/>
        <v>7.4234636276423851E-3</v>
      </c>
      <c r="BF37" s="69">
        <f t="shared" si="23"/>
        <v>2.8829134944593913E-4</v>
      </c>
      <c r="BH37" s="72">
        <f t="shared" si="24"/>
        <v>32676.58</v>
      </c>
      <c r="BI37" s="73">
        <f t="shared" si="25"/>
        <v>1</v>
      </c>
      <c r="BJ37" s="74">
        <f t="shared" si="26"/>
        <v>2.9050104509709875E-3</v>
      </c>
      <c r="BK37" s="75">
        <f t="shared" si="27"/>
        <v>1.1281652676878004E-4</v>
      </c>
      <c r="BM37" s="76">
        <f t="shared" si="28"/>
        <v>1</v>
      </c>
    </row>
    <row r="38" spans="1:65" ht="12.75" customHeight="1" x14ac:dyDescent="0.2">
      <c r="A38" s="47"/>
      <c r="B38" s="48" t="s">
        <v>117</v>
      </c>
      <c r="C38" s="49">
        <v>16150</v>
      </c>
      <c r="D38" s="50">
        <v>13</v>
      </c>
      <c r="E38" s="49">
        <v>15020.59</v>
      </c>
      <c r="F38" s="50" t="s">
        <v>55</v>
      </c>
      <c r="G38" s="51">
        <v>39266</v>
      </c>
      <c r="H38" s="52" t="s">
        <v>56</v>
      </c>
      <c r="I38" s="51">
        <v>39417</v>
      </c>
      <c r="J38" s="52">
        <f t="shared" si="0"/>
        <v>5.0333333333333332</v>
      </c>
      <c r="K38" s="53" t="s">
        <v>118</v>
      </c>
      <c r="L38" s="53">
        <v>18520.59</v>
      </c>
      <c r="M38" s="54">
        <v>1020.6</v>
      </c>
      <c r="N38" s="54">
        <v>0</v>
      </c>
      <c r="O38" s="54">
        <v>0</v>
      </c>
      <c r="P38" s="54">
        <f t="shared" si="1"/>
        <v>0</v>
      </c>
      <c r="Q38" s="54">
        <f t="shared" si="2"/>
        <v>0</v>
      </c>
      <c r="R38" s="55">
        <f t="shared" si="3"/>
        <v>0</v>
      </c>
      <c r="S38" s="55">
        <f t="shared" si="4"/>
        <v>1</v>
      </c>
      <c r="T38" s="56"/>
      <c r="V38" s="57"/>
      <c r="W38" s="58"/>
      <c r="X38" s="58"/>
      <c r="Y38" s="58"/>
      <c r="Z38" s="58"/>
      <c r="AA38" s="58"/>
      <c r="AB38" s="58">
        <f t="shared" si="5"/>
        <v>0</v>
      </c>
      <c r="AC38" s="58"/>
      <c r="AD38" s="59"/>
      <c r="AE38" s="60"/>
      <c r="AF38" s="61"/>
      <c r="AG38" s="59"/>
      <c r="AH38" s="60"/>
      <c r="AI38" s="62"/>
      <c r="AJ38" s="62">
        <f t="shared" si="6"/>
        <v>0</v>
      </c>
      <c r="AK38" s="63"/>
      <c r="AL38" s="64">
        <f t="shared" si="7"/>
        <v>0</v>
      </c>
      <c r="AP38" s="65">
        <f t="shared" si="8"/>
        <v>1</v>
      </c>
      <c r="AQ38" s="16">
        <f t="shared" si="9"/>
        <v>1</v>
      </c>
      <c r="AR38" s="16">
        <f t="shared" si="10"/>
        <v>1</v>
      </c>
      <c r="AS38" s="66">
        <f t="shared" si="11"/>
        <v>0</v>
      </c>
      <c r="AT38" s="67">
        <f t="shared" si="12"/>
        <v>15020.59</v>
      </c>
      <c r="AU38" s="68">
        <f t="shared" si="13"/>
        <v>5.0333333333333332</v>
      </c>
      <c r="AV38" s="19">
        <f t="shared" si="14"/>
        <v>2.1938902279605588E-3</v>
      </c>
      <c r="AW38" s="69">
        <f t="shared" si="15"/>
        <v>0</v>
      </c>
      <c r="AY38" s="65">
        <f t="shared" si="16"/>
        <v>0</v>
      </c>
      <c r="AZ38" s="16">
        <f t="shared" si="17"/>
        <v>1</v>
      </c>
      <c r="BA38" s="16">
        <f t="shared" si="18"/>
        <v>0</v>
      </c>
      <c r="BB38" s="70">
        <f t="shared" si="19"/>
        <v>0</v>
      </c>
      <c r="BC38" s="67">
        <f t="shared" si="20"/>
        <v>0</v>
      </c>
      <c r="BD38" s="71">
        <f t="shared" si="21"/>
        <v>0</v>
      </c>
      <c r="BE38" s="19">
        <f t="shared" si="22"/>
        <v>0</v>
      </c>
      <c r="BF38" s="69">
        <f t="shared" si="23"/>
        <v>0</v>
      </c>
      <c r="BH38" s="72">
        <f t="shared" si="24"/>
        <v>15020.59</v>
      </c>
      <c r="BI38" s="73">
        <f t="shared" si="25"/>
        <v>1</v>
      </c>
      <c r="BJ38" s="74">
        <f t="shared" si="26"/>
        <v>1.3353591755853982E-3</v>
      </c>
      <c r="BK38" s="75">
        <f t="shared" si="27"/>
        <v>0</v>
      </c>
      <c r="BM38" s="76">
        <f t="shared" si="28"/>
        <v>1</v>
      </c>
    </row>
    <row r="39" spans="1:65" ht="12.75" customHeight="1" x14ac:dyDescent="0.2">
      <c r="A39" s="47"/>
      <c r="B39" s="48" t="s">
        <v>119</v>
      </c>
      <c r="C39" s="49">
        <v>29925</v>
      </c>
      <c r="D39" s="50">
        <v>13</v>
      </c>
      <c r="E39" s="49">
        <v>26093.22</v>
      </c>
      <c r="F39" s="50" t="s">
        <v>55</v>
      </c>
      <c r="G39" s="51">
        <v>39356</v>
      </c>
      <c r="H39" s="52" t="s">
        <v>56</v>
      </c>
      <c r="I39" s="51">
        <v>39448</v>
      </c>
      <c r="J39" s="52">
        <f t="shared" si="0"/>
        <v>3.0666666666666669</v>
      </c>
      <c r="K39" s="53" t="s">
        <v>120</v>
      </c>
      <c r="L39" s="53">
        <v>31593.22</v>
      </c>
      <c r="M39" s="54">
        <v>4428.91</v>
      </c>
      <c r="N39" s="54">
        <v>0</v>
      </c>
      <c r="O39" s="54">
        <v>0</v>
      </c>
      <c r="P39" s="54">
        <f t="shared" si="1"/>
        <v>0</v>
      </c>
      <c r="Q39" s="54">
        <f t="shared" si="2"/>
        <v>0</v>
      </c>
      <c r="R39" s="55">
        <f t="shared" si="3"/>
        <v>0</v>
      </c>
      <c r="S39" s="55">
        <f t="shared" si="4"/>
        <v>1</v>
      </c>
      <c r="T39" s="56"/>
      <c r="V39" s="57"/>
      <c r="W39" s="58"/>
      <c r="X39" s="58"/>
      <c r="Y39" s="58"/>
      <c r="Z39" s="58"/>
      <c r="AA39" s="58"/>
      <c r="AB39" s="58">
        <f t="shared" si="5"/>
        <v>0</v>
      </c>
      <c r="AC39" s="58"/>
      <c r="AD39" s="59"/>
      <c r="AE39" s="60"/>
      <c r="AF39" s="61"/>
      <c r="AG39" s="59"/>
      <c r="AH39" s="60"/>
      <c r="AI39" s="62"/>
      <c r="AJ39" s="62">
        <f t="shared" si="6"/>
        <v>0</v>
      </c>
      <c r="AK39" s="63"/>
      <c r="AL39" s="64">
        <f t="shared" si="7"/>
        <v>0</v>
      </c>
      <c r="AP39" s="65">
        <f t="shared" si="8"/>
        <v>1</v>
      </c>
      <c r="AQ39" s="16">
        <f t="shared" si="9"/>
        <v>1</v>
      </c>
      <c r="AR39" s="16">
        <f t="shared" si="10"/>
        <v>1</v>
      </c>
      <c r="AS39" s="66">
        <f t="shared" si="11"/>
        <v>0</v>
      </c>
      <c r="AT39" s="67">
        <f t="shared" si="12"/>
        <v>26093.22</v>
      </c>
      <c r="AU39" s="68">
        <f t="shared" si="13"/>
        <v>3.0666666666666669</v>
      </c>
      <c r="AV39" s="19">
        <f t="shared" si="14"/>
        <v>3.8111459252948799E-3</v>
      </c>
      <c r="AW39" s="69">
        <f t="shared" si="15"/>
        <v>0</v>
      </c>
      <c r="AY39" s="65">
        <f t="shared" si="16"/>
        <v>0</v>
      </c>
      <c r="AZ39" s="16">
        <f t="shared" si="17"/>
        <v>1</v>
      </c>
      <c r="BA39" s="16">
        <f t="shared" si="18"/>
        <v>0</v>
      </c>
      <c r="BB39" s="70">
        <f t="shared" si="19"/>
        <v>0</v>
      </c>
      <c r="BC39" s="67">
        <f t="shared" si="20"/>
        <v>0</v>
      </c>
      <c r="BD39" s="71">
        <f t="shared" si="21"/>
        <v>0</v>
      </c>
      <c r="BE39" s="19">
        <f t="shared" si="22"/>
        <v>0</v>
      </c>
      <c r="BF39" s="69">
        <f t="shared" si="23"/>
        <v>0</v>
      </c>
      <c r="BH39" s="72">
        <f t="shared" si="24"/>
        <v>26093.22</v>
      </c>
      <c r="BI39" s="73">
        <f t="shared" si="25"/>
        <v>1</v>
      </c>
      <c r="BJ39" s="74">
        <f t="shared" si="26"/>
        <v>2.3197371572999744E-3</v>
      </c>
      <c r="BK39" s="75">
        <f t="shared" si="27"/>
        <v>0</v>
      </c>
      <c r="BM39" s="76">
        <f t="shared" si="28"/>
        <v>1</v>
      </c>
    </row>
    <row r="40" spans="1:65" ht="12.75" customHeight="1" x14ac:dyDescent="0.2">
      <c r="A40" s="47"/>
      <c r="B40" s="48" t="s">
        <v>121</v>
      </c>
      <c r="C40" s="49">
        <v>20900</v>
      </c>
      <c r="D40" s="50">
        <v>13</v>
      </c>
      <c r="E40" s="49">
        <v>19251.98</v>
      </c>
      <c r="F40" s="50" t="s">
        <v>55</v>
      </c>
      <c r="G40" s="51">
        <v>39377</v>
      </c>
      <c r="H40" s="52" t="s">
        <v>56</v>
      </c>
      <c r="I40" s="51">
        <v>40542</v>
      </c>
      <c r="J40" s="52">
        <f t="shared" si="0"/>
        <v>38.833333333333336</v>
      </c>
      <c r="K40" s="53" t="s">
        <v>122</v>
      </c>
      <c r="L40" s="53">
        <v>20250</v>
      </c>
      <c r="M40" s="54">
        <v>646.04999999999995</v>
      </c>
      <c r="N40" s="54">
        <v>3358.1800000000003</v>
      </c>
      <c r="O40" s="54">
        <v>0</v>
      </c>
      <c r="P40" s="54">
        <f t="shared" si="1"/>
        <v>0</v>
      </c>
      <c r="Q40" s="54">
        <f t="shared" si="2"/>
        <v>3006.21</v>
      </c>
      <c r="R40" s="55">
        <f t="shared" si="3"/>
        <v>0.15615069203271559</v>
      </c>
      <c r="S40" s="55">
        <f t="shared" si="4"/>
        <v>0.84384930796728441</v>
      </c>
      <c r="T40" s="56"/>
      <c r="V40" s="57"/>
      <c r="W40" s="58"/>
      <c r="X40" s="58"/>
      <c r="Y40" s="58"/>
      <c r="Z40" s="58"/>
      <c r="AA40" s="58"/>
      <c r="AB40" s="58">
        <f t="shared" si="5"/>
        <v>0</v>
      </c>
      <c r="AC40" s="58"/>
      <c r="AD40" s="59"/>
      <c r="AE40" s="60"/>
      <c r="AF40" s="61"/>
      <c r="AG40" s="59"/>
      <c r="AH40" s="60"/>
      <c r="AI40" s="62"/>
      <c r="AJ40" s="62">
        <f t="shared" si="6"/>
        <v>0</v>
      </c>
      <c r="AK40" s="63"/>
      <c r="AL40" s="64">
        <f t="shared" si="7"/>
        <v>0</v>
      </c>
      <c r="AP40" s="65">
        <f t="shared" si="8"/>
        <v>1</v>
      </c>
      <c r="AQ40" s="16">
        <f t="shared" si="9"/>
        <v>1</v>
      </c>
      <c r="AR40" s="16">
        <f t="shared" si="10"/>
        <v>1</v>
      </c>
      <c r="AS40" s="66">
        <f t="shared" si="11"/>
        <v>3358.1800000000003</v>
      </c>
      <c r="AT40" s="67">
        <f t="shared" si="12"/>
        <v>19251.98</v>
      </c>
      <c r="AU40" s="68">
        <f t="shared" si="13"/>
        <v>38.833333333333336</v>
      </c>
      <c r="AV40" s="19">
        <f t="shared" si="14"/>
        <v>2.8119222208243563E-3</v>
      </c>
      <c r="AW40" s="69">
        <f t="shared" si="15"/>
        <v>4.3908360072389375E-4</v>
      </c>
      <c r="AY40" s="65">
        <f t="shared" si="16"/>
        <v>0</v>
      </c>
      <c r="AZ40" s="16">
        <f t="shared" si="17"/>
        <v>1</v>
      </c>
      <c r="BA40" s="16">
        <f t="shared" si="18"/>
        <v>0</v>
      </c>
      <c r="BB40" s="70">
        <f t="shared" si="19"/>
        <v>0</v>
      </c>
      <c r="BC40" s="67">
        <f t="shared" si="20"/>
        <v>0</v>
      </c>
      <c r="BD40" s="71">
        <f t="shared" si="21"/>
        <v>0</v>
      </c>
      <c r="BE40" s="19">
        <f t="shared" si="22"/>
        <v>0</v>
      </c>
      <c r="BF40" s="69">
        <f t="shared" si="23"/>
        <v>0</v>
      </c>
      <c r="BH40" s="72">
        <f t="shared" si="24"/>
        <v>19251.98</v>
      </c>
      <c r="BI40" s="73">
        <f t="shared" si="25"/>
        <v>1</v>
      </c>
      <c r="BJ40" s="74">
        <f t="shared" si="26"/>
        <v>1.7115378384728278E-3</v>
      </c>
      <c r="BK40" s="75">
        <f t="shared" si="27"/>
        <v>2.6725781791771025E-4</v>
      </c>
      <c r="BM40" s="76">
        <f t="shared" si="28"/>
        <v>1</v>
      </c>
    </row>
    <row r="41" spans="1:65" ht="12.75" customHeight="1" x14ac:dyDescent="0.2">
      <c r="A41" s="47"/>
      <c r="B41" s="48" t="s">
        <v>123</v>
      </c>
      <c r="C41" s="49">
        <v>21719.39</v>
      </c>
      <c r="D41" s="50">
        <v>13</v>
      </c>
      <c r="E41" s="49">
        <v>21707.87</v>
      </c>
      <c r="F41" s="50" t="s">
        <v>55</v>
      </c>
      <c r="G41" s="51">
        <v>39387</v>
      </c>
      <c r="H41" s="52" t="s">
        <v>56</v>
      </c>
      <c r="I41" s="51">
        <v>39568</v>
      </c>
      <c r="J41" s="52">
        <f t="shared" si="0"/>
        <v>6.0333333333333332</v>
      </c>
      <c r="K41" s="53" t="s">
        <v>124</v>
      </c>
      <c r="L41" s="53">
        <v>23607.87</v>
      </c>
      <c r="M41" s="54">
        <v>621.91999999999996</v>
      </c>
      <c r="N41" s="54">
        <v>0</v>
      </c>
      <c r="O41" s="54">
        <v>1115.92</v>
      </c>
      <c r="P41" s="54">
        <f t="shared" si="1"/>
        <v>0</v>
      </c>
      <c r="Q41" s="54">
        <f t="shared" si="2"/>
        <v>0</v>
      </c>
      <c r="R41" s="55">
        <f t="shared" si="3"/>
        <v>0</v>
      </c>
      <c r="S41" s="55">
        <f t="shared" si="4"/>
        <v>1</v>
      </c>
      <c r="T41" s="56"/>
      <c r="V41" s="57"/>
      <c r="W41" s="58"/>
      <c r="X41" s="58"/>
      <c r="Y41" s="58"/>
      <c r="Z41" s="58"/>
      <c r="AA41" s="58"/>
      <c r="AB41" s="58">
        <f t="shared" si="5"/>
        <v>0</v>
      </c>
      <c r="AC41" s="58"/>
      <c r="AD41" s="59"/>
      <c r="AE41" s="60"/>
      <c r="AF41" s="61"/>
      <c r="AG41" s="59"/>
      <c r="AH41" s="60"/>
      <c r="AI41" s="62"/>
      <c r="AJ41" s="62">
        <f t="shared" si="6"/>
        <v>0</v>
      </c>
      <c r="AK41" s="63"/>
      <c r="AL41" s="64">
        <f t="shared" si="7"/>
        <v>0</v>
      </c>
      <c r="AP41" s="65">
        <f t="shared" si="8"/>
        <v>1</v>
      </c>
      <c r="AQ41" s="16">
        <f t="shared" si="9"/>
        <v>1</v>
      </c>
      <c r="AR41" s="16">
        <f t="shared" si="10"/>
        <v>1</v>
      </c>
      <c r="AS41" s="66">
        <f t="shared" si="11"/>
        <v>1115.92</v>
      </c>
      <c r="AT41" s="67">
        <f t="shared" si="12"/>
        <v>21707.87</v>
      </c>
      <c r="AU41" s="68">
        <f t="shared" si="13"/>
        <v>6.0333333333333332</v>
      </c>
      <c r="AV41" s="19">
        <f t="shared" si="14"/>
        <v>3.1706267105911404E-3</v>
      </c>
      <c r="AW41" s="69">
        <f t="shared" si="15"/>
        <v>0</v>
      </c>
      <c r="AY41" s="65">
        <f t="shared" si="16"/>
        <v>0</v>
      </c>
      <c r="AZ41" s="16">
        <f t="shared" si="17"/>
        <v>1</v>
      </c>
      <c r="BA41" s="16">
        <f t="shared" si="18"/>
        <v>0</v>
      </c>
      <c r="BB41" s="70">
        <f t="shared" si="19"/>
        <v>0</v>
      </c>
      <c r="BC41" s="67">
        <f t="shared" si="20"/>
        <v>0</v>
      </c>
      <c r="BD41" s="71">
        <f t="shared" si="21"/>
        <v>0</v>
      </c>
      <c r="BE41" s="19">
        <f t="shared" si="22"/>
        <v>0</v>
      </c>
      <c r="BF41" s="69">
        <f t="shared" si="23"/>
        <v>0</v>
      </c>
      <c r="BH41" s="72">
        <f t="shared" si="24"/>
        <v>21707.87</v>
      </c>
      <c r="BI41" s="73">
        <f t="shared" si="25"/>
        <v>1</v>
      </c>
      <c r="BJ41" s="74">
        <f t="shared" si="26"/>
        <v>1.9298711559875474E-3</v>
      </c>
      <c r="BK41" s="75">
        <f t="shared" si="27"/>
        <v>0</v>
      </c>
      <c r="BM41" s="76">
        <f t="shared" si="28"/>
        <v>1</v>
      </c>
    </row>
    <row r="42" spans="1:65" ht="12.75" customHeight="1" x14ac:dyDescent="0.2">
      <c r="A42" s="47"/>
      <c r="B42" s="48" t="s">
        <v>125</v>
      </c>
      <c r="C42" s="49">
        <v>28000</v>
      </c>
      <c r="D42" s="50">
        <v>13</v>
      </c>
      <c r="E42" s="49">
        <v>27170.34</v>
      </c>
      <c r="F42" s="50" t="s">
        <v>55</v>
      </c>
      <c r="G42" s="51">
        <v>39479</v>
      </c>
      <c r="H42" s="52" t="s">
        <v>56</v>
      </c>
      <c r="I42" s="51">
        <v>39873</v>
      </c>
      <c r="J42" s="52">
        <f t="shared" si="0"/>
        <v>13.133333333333333</v>
      </c>
      <c r="K42" s="53" t="s">
        <v>126</v>
      </c>
      <c r="L42" s="53">
        <v>31670.34</v>
      </c>
      <c r="M42" s="54">
        <v>549.17999999999995</v>
      </c>
      <c r="N42" s="54">
        <v>4445.79</v>
      </c>
      <c r="O42" s="54">
        <v>0</v>
      </c>
      <c r="P42" s="54">
        <f t="shared" si="1"/>
        <v>0</v>
      </c>
      <c r="Q42" s="54">
        <f t="shared" si="2"/>
        <v>494.9699999999998</v>
      </c>
      <c r="R42" s="55">
        <f t="shared" si="3"/>
        <v>1.8217291355205705E-2</v>
      </c>
      <c r="S42" s="55">
        <f t="shared" si="4"/>
        <v>0.98178270864479433</v>
      </c>
      <c r="T42" s="56"/>
      <c r="V42" s="57"/>
      <c r="W42" s="58"/>
      <c r="X42" s="58"/>
      <c r="Y42" s="58"/>
      <c r="Z42" s="58"/>
      <c r="AA42" s="58"/>
      <c r="AB42" s="58">
        <f t="shared" si="5"/>
        <v>0</v>
      </c>
      <c r="AC42" s="58"/>
      <c r="AD42" s="59"/>
      <c r="AE42" s="60"/>
      <c r="AF42" s="61"/>
      <c r="AG42" s="59"/>
      <c r="AH42" s="60"/>
      <c r="AI42" s="62"/>
      <c r="AJ42" s="62">
        <f t="shared" si="6"/>
        <v>0</v>
      </c>
      <c r="AK42" s="63"/>
      <c r="AL42" s="64">
        <f t="shared" si="7"/>
        <v>0</v>
      </c>
      <c r="AP42" s="65">
        <f t="shared" si="8"/>
        <v>1</v>
      </c>
      <c r="AQ42" s="16">
        <f t="shared" si="9"/>
        <v>1</v>
      </c>
      <c r="AR42" s="16">
        <f t="shared" si="10"/>
        <v>1</v>
      </c>
      <c r="AS42" s="66">
        <f t="shared" si="11"/>
        <v>4445.79</v>
      </c>
      <c r="AT42" s="67">
        <f t="shared" si="12"/>
        <v>27170.34</v>
      </c>
      <c r="AU42" s="68">
        <f t="shared" si="13"/>
        <v>13.133333333333333</v>
      </c>
      <c r="AV42" s="19">
        <f t="shared" si="14"/>
        <v>3.9684688428594283E-3</v>
      </c>
      <c r="AW42" s="69">
        <f t="shared" si="15"/>
        <v>7.2294753144426255E-5</v>
      </c>
      <c r="AY42" s="65">
        <f t="shared" si="16"/>
        <v>0</v>
      </c>
      <c r="AZ42" s="16">
        <f t="shared" si="17"/>
        <v>1</v>
      </c>
      <c r="BA42" s="16">
        <f t="shared" si="18"/>
        <v>0</v>
      </c>
      <c r="BB42" s="70">
        <f t="shared" si="19"/>
        <v>0</v>
      </c>
      <c r="BC42" s="67">
        <f t="shared" si="20"/>
        <v>0</v>
      </c>
      <c r="BD42" s="71">
        <f t="shared" si="21"/>
        <v>0</v>
      </c>
      <c r="BE42" s="19">
        <f t="shared" si="22"/>
        <v>0</v>
      </c>
      <c r="BF42" s="69">
        <f t="shared" si="23"/>
        <v>0</v>
      </c>
      <c r="BH42" s="72">
        <f t="shared" si="24"/>
        <v>27170.34</v>
      </c>
      <c r="BI42" s="73">
        <f t="shared" si="25"/>
        <v>1</v>
      </c>
      <c r="BJ42" s="74">
        <f t="shared" si="26"/>
        <v>2.4154951851275458E-3</v>
      </c>
      <c r="BK42" s="75">
        <f t="shared" si="27"/>
        <v>4.4003779554565044E-5</v>
      </c>
      <c r="BM42" s="76">
        <f t="shared" si="28"/>
        <v>1</v>
      </c>
    </row>
    <row r="43" spans="1:65" ht="12.75" customHeight="1" x14ac:dyDescent="0.2">
      <c r="A43" s="47"/>
      <c r="B43" s="48" t="s">
        <v>127</v>
      </c>
      <c r="C43" s="49">
        <v>39525</v>
      </c>
      <c r="D43" s="50">
        <v>13</v>
      </c>
      <c r="E43" s="49">
        <f>21709.81+16914.53</f>
        <v>38624.339999999997</v>
      </c>
      <c r="F43" s="50" t="s">
        <v>63</v>
      </c>
      <c r="G43" s="51">
        <v>39508</v>
      </c>
      <c r="H43" s="52" t="s">
        <v>56</v>
      </c>
      <c r="I43" s="51">
        <v>39568</v>
      </c>
      <c r="J43" s="52">
        <f t="shared" si="0"/>
        <v>2</v>
      </c>
      <c r="K43" s="53" t="s">
        <v>128</v>
      </c>
      <c r="L43" s="53">
        <v>39500</v>
      </c>
      <c r="M43" s="54">
        <v>1495.94</v>
      </c>
      <c r="N43" s="54">
        <v>0</v>
      </c>
      <c r="O43" s="54">
        <v>2174.6999999999998</v>
      </c>
      <c r="P43" s="54">
        <f t="shared" si="1"/>
        <v>0</v>
      </c>
      <c r="Q43" s="54">
        <f t="shared" si="2"/>
        <v>2794.9799999999964</v>
      </c>
      <c r="R43" s="55">
        <f t="shared" si="3"/>
        <v>7.236317824459905E-2</v>
      </c>
      <c r="S43" s="55">
        <f t="shared" si="4"/>
        <v>0.92763682175540096</v>
      </c>
      <c r="T43" s="56"/>
      <c r="V43" s="57"/>
      <c r="W43" s="58"/>
      <c r="X43" s="58"/>
      <c r="Y43" s="58"/>
      <c r="Z43" s="58"/>
      <c r="AA43" s="58"/>
      <c r="AB43" s="58">
        <f t="shared" si="5"/>
        <v>0</v>
      </c>
      <c r="AC43" s="58"/>
      <c r="AD43" s="59"/>
      <c r="AE43" s="60"/>
      <c r="AF43" s="61"/>
      <c r="AG43" s="59"/>
      <c r="AH43" s="60"/>
      <c r="AI43" s="62"/>
      <c r="AJ43" s="62">
        <f t="shared" si="6"/>
        <v>0</v>
      </c>
      <c r="AK43" s="63"/>
      <c r="AL43" s="64">
        <f t="shared" si="7"/>
        <v>0</v>
      </c>
      <c r="AP43" s="65">
        <f t="shared" si="8"/>
        <v>0</v>
      </c>
      <c r="AQ43" s="16">
        <f t="shared" si="9"/>
        <v>1</v>
      </c>
      <c r="AR43" s="16">
        <f t="shared" si="10"/>
        <v>0</v>
      </c>
      <c r="AS43" s="66">
        <f t="shared" si="11"/>
        <v>0</v>
      </c>
      <c r="AT43" s="67">
        <f t="shared" si="12"/>
        <v>0</v>
      </c>
      <c r="AU43" s="68">
        <f t="shared" si="13"/>
        <v>0</v>
      </c>
      <c r="AV43" s="19">
        <f t="shared" si="14"/>
        <v>0</v>
      </c>
      <c r="AW43" s="69">
        <f t="shared" si="15"/>
        <v>0</v>
      </c>
      <c r="AY43" s="65">
        <f t="shared" si="16"/>
        <v>1</v>
      </c>
      <c r="AZ43" s="16">
        <f t="shared" si="17"/>
        <v>1</v>
      </c>
      <c r="BA43" s="16">
        <f t="shared" si="18"/>
        <v>1</v>
      </c>
      <c r="BB43" s="70">
        <f t="shared" si="19"/>
        <v>2174.6999999999998</v>
      </c>
      <c r="BC43" s="67">
        <f t="shared" si="20"/>
        <v>38624.339999999997</v>
      </c>
      <c r="BD43" s="71">
        <f t="shared" si="21"/>
        <v>2</v>
      </c>
      <c r="BE43" s="19">
        <f t="shared" si="22"/>
        <v>8.7746754137578917E-3</v>
      </c>
      <c r="BF43" s="69">
        <f t="shared" si="23"/>
        <v>6.3496340100426321E-4</v>
      </c>
      <c r="BH43" s="72">
        <f t="shared" si="24"/>
        <v>38624.339999999997</v>
      </c>
      <c r="BI43" s="73">
        <f t="shared" si="25"/>
        <v>1</v>
      </c>
      <c r="BJ43" s="74">
        <f t="shared" si="26"/>
        <v>3.4337776891540284E-3</v>
      </c>
      <c r="BK43" s="75">
        <f t="shared" si="27"/>
        <v>2.4847906697258039E-4</v>
      </c>
      <c r="BM43" s="76">
        <f t="shared" si="28"/>
        <v>1</v>
      </c>
    </row>
    <row r="44" spans="1:65" ht="12.75" customHeight="1" x14ac:dyDescent="0.2">
      <c r="A44" s="47"/>
      <c r="B44" s="48" t="s">
        <v>129</v>
      </c>
      <c r="C44" s="49">
        <v>34613.599999999999</v>
      </c>
      <c r="D44" s="50">
        <v>13</v>
      </c>
      <c r="E44" s="49">
        <v>32618.400000000001</v>
      </c>
      <c r="F44" s="50" t="s">
        <v>63</v>
      </c>
      <c r="G44" s="51">
        <v>39508</v>
      </c>
      <c r="H44" s="52" t="s">
        <v>56</v>
      </c>
      <c r="I44" s="51">
        <v>39587</v>
      </c>
      <c r="J44" s="52">
        <f t="shared" si="0"/>
        <v>2.6333333333333333</v>
      </c>
      <c r="K44" s="53" t="s">
        <v>130</v>
      </c>
      <c r="L44" s="53">
        <v>33624.74</v>
      </c>
      <c r="M44" s="54">
        <v>703.37</v>
      </c>
      <c r="N44" s="54">
        <v>406.18</v>
      </c>
      <c r="O44" s="54">
        <v>985.13</v>
      </c>
      <c r="P44" s="54">
        <v>0</v>
      </c>
      <c r="Q44" s="54">
        <f t="shared" si="2"/>
        <v>1088.3400000000036</v>
      </c>
      <c r="R44" s="55">
        <f t="shared" si="3"/>
        <v>3.336583032889423E-2</v>
      </c>
      <c r="S44" s="55">
        <f t="shared" si="4"/>
        <v>0.96663416967110583</v>
      </c>
      <c r="T44" s="56"/>
      <c r="V44" s="57"/>
      <c r="W44" s="58"/>
      <c r="X44" s="58"/>
      <c r="Y44" s="58"/>
      <c r="Z44" s="58"/>
      <c r="AA44" s="58"/>
      <c r="AB44" s="58">
        <f t="shared" si="5"/>
        <v>0</v>
      </c>
      <c r="AC44" s="58"/>
      <c r="AD44" s="59"/>
      <c r="AE44" s="60"/>
      <c r="AF44" s="61"/>
      <c r="AG44" s="59"/>
      <c r="AH44" s="60"/>
      <c r="AI44" s="62"/>
      <c r="AJ44" s="62">
        <f t="shared" si="6"/>
        <v>0</v>
      </c>
      <c r="AK44" s="63"/>
      <c r="AL44" s="64">
        <f t="shared" si="7"/>
        <v>0</v>
      </c>
      <c r="AP44" s="65">
        <f t="shared" si="8"/>
        <v>0</v>
      </c>
      <c r="AQ44" s="16">
        <f t="shared" si="9"/>
        <v>1</v>
      </c>
      <c r="AR44" s="16">
        <f t="shared" si="10"/>
        <v>0</v>
      </c>
      <c r="AS44" s="66">
        <f t="shared" si="11"/>
        <v>0</v>
      </c>
      <c r="AT44" s="67">
        <f t="shared" si="12"/>
        <v>0</v>
      </c>
      <c r="AU44" s="68">
        <f t="shared" si="13"/>
        <v>0</v>
      </c>
      <c r="AV44" s="19">
        <f t="shared" si="14"/>
        <v>0</v>
      </c>
      <c r="AW44" s="69">
        <f t="shared" si="15"/>
        <v>0</v>
      </c>
      <c r="AY44" s="65">
        <f t="shared" si="16"/>
        <v>1</v>
      </c>
      <c r="AZ44" s="16">
        <f t="shared" si="17"/>
        <v>1</v>
      </c>
      <c r="BA44" s="16">
        <f t="shared" si="18"/>
        <v>1</v>
      </c>
      <c r="BB44" s="70">
        <f t="shared" si="19"/>
        <v>1391.31</v>
      </c>
      <c r="BC44" s="67">
        <f t="shared" si="20"/>
        <v>32618.400000000001</v>
      </c>
      <c r="BD44" s="71">
        <f t="shared" si="21"/>
        <v>2.6333333333333333</v>
      </c>
      <c r="BE44" s="19">
        <f t="shared" si="22"/>
        <v>7.4102462984770856E-3</v>
      </c>
      <c r="BF44" s="69">
        <f t="shared" si="23"/>
        <v>2.4724902069030294E-4</v>
      </c>
      <c r="BH44" s="72">
        <f t="shared" si="24"/>
        <v>32618.400000000001</v>
      </c>
      <c r="BI44" s="73">
        <f t="shared" si="25"/>
        <v>1</v>
      </c>
      <c r="BJ44" s="74">
        <f t="shared" si="26"/>
        <v>2.899838137710619E-3</v>
      </c>
      <c r="BK44" s="75">
        <f t="shared" si="27"/>
        <v>9.6755507284109133E-5</v>
      </c>
      <c r="BM44" s="76">
        <f t="shared" si="28"/>
        <v>1</v>
      </c>
    </row>
    <row r="45" spans="1:65" ht="12.75" customHeight="1" x14ac:dyDescent="0.2">
      <c r="A45" s="47"/>
      <c r="B45" s="48" t="s">
        <v>131</v>
      </c>
      <c r="C45" s="49">
        <v>24300</v>
      </c>
      <c r="D45" s="50">
        <v>11</v>
      </c>
      <c r="E45" s="49">
        <f>13749.01+10267.39</f>
        <v>24016.400000000001</v>
      </c>
      <c r="F45" s="50" t="s">
        <v>55</v>
      </c>
      <c r="G45" s="51">
        <v>39508</v>
      </c>
      <c r="H45" s="52" t="s">
        <v>56</v>
      </c>
      <c r="I45" s="51">
        <v>39627</v>
      </c>
      <c r="J45" s="52">
        <f t="shared" si="0"/>
        <v>3.9666666666666668</v>
      </c>
      <c r="K45" s="53" t="s">
        <v>132</v>
      </c>
      <c r="L45" s="53">
        <v>23800.15</v>
      </c>
      <c r="M45" s="54">
        <v>334.23</v>
      </c>
      <c r="N45" s="54">
        <v>0</v>
      </c>
      <c r="O45" s="54">
        <v>0</v>
      </c>
      <c r="P45" s="54">
        <f t="shared" ref="P45:P48" si="29">IF(L45="N/A",0,IF(L45-E45&gt;0,0,E45-L45))</f>
        <v>216.25</v>
      </c>
      <c r="Q45" s="54">
        <f t="shared" si="2"/>
        <v>550.48</v>
      </c>
      <c r="R45" s="55">
        <f t="shared" si="3"/>
        <v>2.2921003980613246E-2</v>
      </c>
      <c r="S45" s="55">
        <f t="shared" si="4"/>
        <v>0.97707899601938675</v>
      </c>
      <c r="T45" s="56"/>
      <c r="V45" s="57"/>
      <c r="W45" s="58"/>
      <c r="X45" s="58"/>
      <c r="Y45" s="58"/>
      <c r="Z45" s="58"/>
      <c r="AA45" s="58"/>
      <c r="AB45" s="58">
        <f t="shared" si="5"/>
        <v>0</v>
      </c>
      <c r="AC45" s="58"/>
      <c r="AD45" s="59"/>
      <c r="AE45" s="60"/>
      <c r="AF45" s="61"/>
      <c r="AG45" s="59"/>
      <c r="AH45" s="60"/>
      <c r="AI45" s="62"/>
      <c r="AJ45" s="62">
        <f t="shared" si="6"/>
        <v>0</v>
      </c>
      <c r="AK45" s="63"/>
      <c r="AL45" s="64">
        <f t="shared" si="7"/>
        <v>0</v>
      </c>
      <c r="AP45" s="65">
        <f t="shared" si="8"/>
        <v>1</v>
      </c>
      <c r="AQ45" s="16">
        <f t="shared" si="9"/>
        <v>1</v>
      </c>
      <c r="AR45" s="16">
        <f t="shared" si="10"/>
        <v>1</v>
      </c>
      <c r="AS45" s="66">
        <f t="shared" si="11"/>
        <v>0</v>
      </c>
      <c r="AT45" s="67">
        <f t="shared" si="12"/>
        <v>24016.400000000001</v>
      </c>
      <c r="AU45" s="68">
        <f t="shared" si="13"/>
        <v>3.9666666666666668</v>
      </c>
      <c r="AV45" s="19">
        <f t="shared" si="14"/>
        <v>3.507807966983452E-3</v>
      </c>
      <c r="AW45" s="69">
        <f t="shared" si="15"/>
        <v>8.0402480374454564E-5</v>
      </c>
      <c r="AY45" s="65">
        <f t="shared" si="16"/>
        <v>0</v>
      </c>
      <c r="AZ45" s="16">
        <f t="shared" si="17"/>
        <v>1</v>
      </c>
      <c r="BA45" s="16">
        <f t="shared" si="18"/>
        <v>0</v>
      </c>
      <c r="BB45" s="70">
        <f t="shared" si="19"/>
        <v>0</v>
      </c>
      <c r="BC45" s="67">
        <f t="shared" si="20"/>
        <v>0</v>
      </c>
      <c r="BD45" s="71">
        <f t="shared" si="21"/>
        <v>0</v>
      </c>
      <c r="BE45" s="19">
        <f t="shared" si="22"/>
        <v>0</v>
      </c>
      <c r="BF45" s="69">
        <f t="shared" si="23"/>
        <v>0</v>
      </c>
      <c r="BH45" s="72">
        <f t="shared" si="24"/>
        <v>24016.400000000001</v>
      </c>
      <c r="BI45" s="73">
        <f t="shared" si="25"/>
        <v>1</v>
      </c>
      <c r="BJ45" s="74">
        <f t="shared" si="26"/>
        <v>2.1351038876987628E-3</v>
      </c>
      <c r="BK45" s="75">
        <f t="shared" si="27"/>
        <v>4.8938724708966155E-5</v>
      </c>
      <c r="BM45" s="76">
        <f t="shared" si="28"/>
        <v>1</v>
      </c>
    </row>
    <row r="46" spans="1:65" ht="12.75" customHeight="1" x14ac:dyDescent="0.2">
      <c r="A46" s="47"/>
      <c r="B46" s="48" t="s">
        <v>133</v>
      </c>
      <c r="C46" s="49">
        <v>22729.59</v>
      </c>
      <c r="D46" s="50">
        <v>9</v>
      </c>
      <c r="E46" s="49">
        <v>21923.52</v>
      </c>
      <c r="F46" s="50" t="s">
        <v>63</v>
      </c>
      <c r="G46" s="51">
        <v>39508</v>
      </c>
      <c r="H46" s="52" t="s">
        <v>56</v>
      </c>
      <c r="I46" s="51">
        <v>39629</v>
      </c>
      <c r="J46" s="52">
        <f t="shared" si="0"/>
        <v>4.0333333333333332</v>
      </c>
      <c r="K46" s="53" t="s">
        <v>134</v>
      </c>
      <c r="L46" s="53">
        <v>21923.52</v>
      </c>
      <c r="M46" s="54">
        <v>226.99</v>
      </c>
      <c r="N46" s="54">
        <v>0</v>
      </c>
      <c r="O46" s="54">
        <v>0</v>
      </c>
      <c r="P46" s="54">
        <f t="shared" si="29"/>
        <v>0</v>
      </c>
      <c r="Q46" s="54">
        <f t="shared" si="2"/>
        <v>226.99</v>
      </c>
      <c r="R46" s="55">
        <f t="shared" si="3"/>
        <v>1.0353720570419349E-2</v>
      </c>
      <c r="S46" s="55">
        <f t="shared" si="4"/>
        <v>0.98964627942958061</v>
      </c>
      <c r="T46" s="56"/>
      <c r="V46" s="57"/>
      <c r="W46" s="58"/>
      <c r="X46" s="58"/>
      <c r="Y46" s="58"/>
      <c r="Z46" s="58"/>
      <c r="AA46" s="58"/>
      <c r="AB46" s="58">
        <f t="shared" si="5"/>
        <v>0</v>
      </c>
      <c r="AC46" s="58"/>
      <c r="AD46" s="59"/>
      <c r="AE46" s="60"/>
      <c r="AF46" s="61"/>
      <c r="AG46" s="59"/>
      <c r="AH46" s="60"/>
      <c r="AI46" s="62"/>
      <c r="AJ46" s="62">
        <f t="shared" si="6"/>
        <v>0</v>
      </c>
      <c r="AK46" s="63"/>
      <c r="AL46" s="64">
        <f t="shared" si="7"/>
        <v>0</v>
      </c>
      <c r="AP46" s="65">
        <f t="shared" si="8"/>
        <v>0</v>
      </c>
      <c r="AQ46" s="16">
        <f t="shared" si="9"/>
        <v>1</v>
      </c>
      <c r="AR46" s="16">
        <f t="shared" si="10"/>
        <v>0</v>
      </c>
      <c r="AS46" s="66">
        <f t="shared" si="11"/>
        <v>0</v>
      </c>
      <c r="AT46" s="67">
        <f t="shared" si="12"/>
        <v>0</v>
      </c>
      <c r="AU46" s="68">
        <f t="shared" si="13"/>
        <v>0</v>
      </c>
      <c r="AV46" s="19">
        <f t="shared" si="14"/>
        <v>0</v>
      </c>
      <c r="AW46" s="69">
        <f t="shared" si="15"/>
        <v>0</v>
      </c>
      <c r="AY46" s="65">
        <f t="shared" si="16"/>
        <v>1</v>
      </c>
      <c r="AZ46" s="16">
        <f t="shared" si="17"/>
        <v>1</v>
      </c>
      <c r="BA46" s="16">
        <f t="shared" si="18"/>
        <v>1</v>
      </c>
      <c r="BB46" s="70">
        <f t="shared" si="19"/>
        <v>0</v>
      </c>
      <c r="BC46" s="67">
        <f t="shared" si="20"/>
        <v>21923.52</v>
      </c>
      <c r="BD46" s="71">
        <f t="shared" si="21"/>
        <v>4.0333333333333332</v>
      </c>
      <c r="BE46" s="19">
        <f t="shared" si="22"/>
        <v>4.9805840546926997E-3</v>
      </c>
      <c r="BF46" s="69">
        <f t="shared" si="23"/>
        <v>5.1567575579774417E-5</v>
      </c>
      <c r="BH46" s="72">
        <f t="shared" si="24"/>
        <v>21923.52</v>
      </c>
      <c r="BI46" s="73">
        <f t="shared" si="25"/>
        <v>1</v>
      </c>
      <c r="BJ46" s="74">
        <f t="shared" si="26"/>
        <v>1.9490428533852522E-3</v>
      </c>
      <c r="BK46" s="75">
        <f t="shared" si="27"/>
        <v>2.0179845083723711E-5</v>
      </c>
      <c r="BM46" s="76">
        <f t="shared" si="28"/>
        <v>1</v>
      </c>
    </row>
    <row r="47" spans="1:65" ht="12.75" customHeight="1" x14ac:dyDescent="0.2">
      <c r="A47" s="47"/>
      <c r="B47" s="48" t="s">
        <v>135</v>
      </c>
      <c r="C47" s="49">
        <v>25200</v>
      </c>
      <c r="D47" s="50">
        <v>13</v>
      </c>
      <c r="E47" s="49">
        <f>4779.43+20240.45</f>
        <v>25019.88</v>
      </c>
      <c r="F47" s="50" t="s">
        <v>63</v>
      </c>
      <c r="G47" s="51">
        <v>39508</v>
      </c>
      <c r="H47" s="52" t="s">
        <v>56</v>
      </c>
      <c r="I47" s="51">
        <v>39781</v>
      </c>
      <c r="J47" s="52">
        <f t="shared" si="0"/>
        <v>9.1</v>
      </c>
      <c r="K47" s="53" t="s">
        <v>136</v>
      </c>
      <c r="L47" s="53">
        <v>27685</v>
      </c>
      <c r="M47" s="54">
        <v>2410.17</v>
      </c>
      <c r="N47" s="54">
        <v>0</v>
      </c>
      <c r="O47" s="54">
        <v>4091.36</v>
      </c>
      <c r="P47" s="54">
        <f t="shared" si="29"/>
        <v>0</v>
      </c>
      <c r="Q47" s="54">
        <f t="shared" si="2"/>
        <v>3836.4100000000012</v>
      </c>
      <c r="R47" s="55">
        <f t="shared" si="3"/>
        <v>0.15333446843070395</v>
      </c>
      <c r="S47" s="55">
        <f t="shared" si="4"/>
        <v>0.84666553156929603</v>
      </c>
      <c r="T47" s="56"/>
      <c r="V47" s="57"/>
      <c r="W47" s="58"/>
      <c r="X47" s="58"/>
      <c r="Y47" s="58"/>
      <c r="Z47" s="58"/>
      <c r="AA47" s="58"/>
      <c r="AB47" s="58">
        <f t="shared" si="5"/>
        <v>0</v>
      </c>
      <c r="AC47" s="58"/>
      <c r="AD47" s="59"/>
      <c r="AE47" s="60"/>
      <c r="AF47" s="61"/>
      <c r="AG47" s="59"/>
      <c r="AH47" s="60"/>
      <c r="AI47" s="62"/>
      <c r="AJ47" s="62">
        <f t="shared" si="6"/>
        <v>0</v>
      </c>
      <c r="AK47" s="63"/>
      <c r="AL47" s="64">
        <f t="shared" si="7"/>
        <v>0</v>
      </c>
      <c r="AP47" s="65">
        <f t="shared" si="8"/>
        <v>0</v>
      </c>
      <c r="AQ47" s="16">
        <f t="shared" si="9"/>
        <v>1</v>
      </c>
      <c r="AR47" s="16">
        <f t="shared" si="10"/>
        <v>0</v>
      </c>
      <c r="AS47" s="66">
        <f t="shared" si="11"/>
        <v>0</v>
      </c>
      <c r="AT47" s="67">
        <f t="shared" si="12"/>
        <v>0</v>
      </c>
      <c r="AU47" s="68">
        <f t="shared" si="13"/>
        <v>0</v>
      </c>
      <c r="AV47" s="19">
        <f t="shared" si="14"/>
        <v>0</v>
      </c>
      <c r="AW47" s="69">
        <f t="shared" si="15"/>
        <v>0</v>
      </c>
      <c r="AY47" s="65">
        <f t="shared" si="16"/>
        <v>1</v>
      </c>
      <c r="AZ47" s="16">
        <f t="shared" si="17"/>
        <v>1</v>
      </c>
      <c r="BA47" s="16">
        <f t="shared" si="18"/>
        <v>1</v>
      </c>
      <c r="BB47" s="70">
        <f t="shared" si="19"/>
        <v>4091.36</v>
      </c>
      <c r="BC47" s="67">
        <f t="shared" si="20"/>
        <v>25019.88</v>
      </c>
      <c r="BD47" s="71">
        <f t="shared" si="21"/>
        <v>9.1</v>
      </c>
      <c r="BE47" s="19">
        <f t="shared" si="22"/>
        <v>5.6840149473407911E-3</v>
      </c>
      <c r="BF47" s="69">
        <f t="shared" si="23"/>
        <v>8.7155541050267589E-4</v>
      </c>
      <c r="BH47" s="72">
        <f t="shared" si="24"/>
        <v>25019.88</v>
      </c>
      <c r="BI47" s="73">
        <f t="shared" si="25"/>
        <v>1</v>
      </c>
      <c r="BJ47" s="74">
        <f t="shared" si="26"/>
        <v>2.2243151787010758E-3</v>
      </c>
      <c r="BK47" s="75">
        <f t="shared" si="27"/>
        <v>3.410641855484757E-4</v>
      </c>
      <c r="BM47" s="76">
        <f t="shared" si="28"/>
        <v>1</v>
      </c>
    </row>
    <row r="48" spans="1:65" ht="12.75" customHeight="1" x14ac:dyDescent="0.2">
      <c r="A48" s="47"/>
      <c r="B48" s="48" t="s">
        <v>137</v>
      </c>
      <c r="C48" s="49">
        <v>22381</v>
      </c>
      <c r="D48" s="50">
        <v>9</v>
      </c>
      <c r="E48" s="49">
        <v>22160.42</v>
      </c>
      <c r="F48" s="50" t="s">
        <v>63</v>
      </c>
      <c r="G48" s="51">
        <v>39568</v>
      </c>
      <c r="H48" s="52" t="s">
        <v>56</v>
      </c>
      <c r="I48" s="51">
        <v>39656</v>
      </c>
      <c r="J48" s="52">
        <f t="shared" si="0"/>
        <v>2.9333333333333331</v>
      </c>
      <c r="K48" s="53" t="s">
        <v>138</v>
      </c>
      <c r="L48" s="53">
        <v>24160.42</v>
      </c>
      <c r="M48" s="54">
        <v>413.78</v>
      </c>
      <c r="N48" s="54">
        <v>0</v>
      </c>
      <c r="O48" s="54">
        <v>0</v>
      </c>
      <c r="P48" s="54">
        <f t="shared" si="29"/>
        <v>0</v>
      </c>
      <c r="Q48" s="54">
        <f t="shared" si="2"/>
        <v>0</v>
      </c>
      <c r="R48" s="55">
        <f t="shared" si="3"/>
        <v>0</v>
      </c>
      <c r="S48" s="55">
        <f t="shared" si="4"/>
        <v>1</v>
      </c>
      <c r="T48" s="56"/>
      <c r="V48" s="57"/>
      <c r="W48" s="58"/>
      <c r="X48" s="58"/>
      <c r="Y48" s="58"/>
      <c r="Z48" s="58"/>
      <c r="AA48" s="58"/>
      <c r="AB48" s="58">
        <f t="shared" si="5"/>
        <v>0</v>
      </c>
      <c r="AC48" s="58"/>
      <c r="AD48" s="59"/>
      <c r="AE48" s="60"/>
      <c r="AF48" s="61"/>
      <c r="AG48" s="59"/>
      <c r="AH48" s="60"/>
      <c r="AI48" s="62"/>
      <c r="AJ48" s="62">
        <f t="shared" si="6"/>
        <v>0</v>
      </c>
      <c r="AK48" s="63"/>
      <c r="AL48" s="64">
        <f t="shared" si="7"/>
        <v>0</v>
      </c>
      <c r="AP48" s="65">
        <f t="shared" si="8"/>
        <v>0</v>
      </c>
      <c r="AQ48" s="16">
        <f t="shared" si="9"/>
        <v>1</v>
      </c>
      <c r="AR48" s="16">
        <f t="shared" si="10"/>
        <v>0</v>
      </c>
      <c r="AS48" s="66">
        <f t="shared" si="11"/>
        <v>0</v>
      </c>
      <c r="AT48" s="67">
        <f t="shared" si="12"/>
        <v>0</v>
      </c>
      <c r="AU48" s="68">
        <f t="shared" si="13"/>
        <v>0</v>
      </c>
      <c r="AV48" s="19">
        <f t="shared" si="14"/>
        <v>0</v>
      </c>
      <c r="AW48" s="69">
        <f t="shared" si="15"/>
        <v>0</v>
      </c>
      <c r="AY48" s="65">
        <f t="shared" si="16"/>
        <v>1</v>
      </c>
      <c r="AZ48" s="16">
        <f t="shared" si="17"/>
        <v>1</v>
      </c>
      <c r="BA48" s="16">
        <f t="shared" si="18"/>
        <v>1</v>
      </c>
      <c r="BB48" s="70">
        <f t="shared" si="19"/>
        <v>0</v>
      </c>
      <c r="BC48" s="67">
        <f t="shared" si="20"/>
        <v>22160.42</v>
      </c>
      <c r="BD48" s="71">
        <f t="shared" si="21"/>
        <v>2.9333333333333331</v>
      </c>
      <c r="BE48" s="19">
        <f t="shared" si="22"/>
        <v>5.0344029835214955E-3</v>
      </c>
      <c r="BF48" s="69">
        <f t="shared" si="23"/>
        <v>0</v>
      </c>
      <c r="BH48" s="72">
        <f t="shared" si="24"/>
        <v>22160.42</v>
      </c>
      <c r="BI48" s="73">
        <f t="shared" si="25"/>
        <v>1</v>
      </c>
      <c r="BJ48" s="74">
        <f t="shared" si="26"/>
        <v>1.9701037164203379E-3</v>
      </c>
      <c r="BK48" s="75">
        <f t="shared" si="27"/>
        <v>0</v>
      </c>
      <c r="BM48" s="76">
        <f t="shared" si="28"/>
        <v>1</v>
      </c>
    </row>
    <row r="49" spans="1:65" ht="12.75" customHeight="1" x14ac:dyDescent="0.2">
      <c r="A49" s="47"/>
      <c r="B49" s="48" t="s">
        <v>139</v>
      </c>
      <c r="C49" s="49">
        <v>24794</v>
      </c>
      <c r="D49" s="50">
        <v>13</v>
      </c>
      <c r="E49" s="49">
        <v>23308.31</v>
      </c>
      <c r="F49" s="50" t="s">
        <v>63</v>
      </c>
      <c r="G49" s="51">
        <v>39576</v>
      </c>
      <c r="H49" s="52" t="s">
        <v>56</v>
      </c>
      <c r="I49" s="51">
        <v>39872</v>
      </c>
      <c r="J49" s="52">
        <f t="shared" si="0"/>
        <v>9.8666666666666671</v>
      </c>
      <c r="K49" s="53" t="s">
        <v>140</v>
      </c>
      <c r="L49" s="53">
        <v>24831.31</v>
      </c>
      <c r="M49" s="54">
        <v>533.35</v>
      </c>
      <c r="N49" s="54">
        <v>0</v>
      </c>
      <c r="O49" s="54">
        <v>989.89</v>
      </c>
      <c r="P49" s="54">
        <v>0</v>
      </c>
      <c r="Q49" s="54">
        <f t="shared" si="2"/>
        <v>0.24000000000000909</v>
      </c>
      <c r="R49" s="55">
        <f t="shared" si="3"/>
        <v>1.0296756821923558E-5</v>
      </c>
      <c r="S49" s="55">
        <f t="shared" si="4"/>
        <v>0.99998970324317804</v>
      </c>
      <c r="T49" s="56"/>
      <c r="V49" s="57"/>
      <c r="W49" s="58"/>
      <c r="X49" s="58"/>
      <c r="Y49" s="58"/>
      <c r="Z49" s="58"/>
      <c r="AA49" s="58"/>
      <c r="AB49" s="58">
        <f t="shared" si="5"/>
        <v>0</v>
      </c>
      <c r="AC49" s="58"/>
      <c r="AD49" s="59"/>
      <c r="AE49" s="60"/>
      <c r="AF49" s="61"/>
      <c r="AG49" s="59"/>
      <c r="AH49" s="60"/>
      <c r="AI49" s="62"/>
      <c r="AJ49" s="62">
        <f t="shared" si="6"/>
        <v>0</v>
      </c>
      <c r="AK49" s="63"/>
      <c r="AL49" s="64">
        <f t="shared" si="7"/>
        <v>0</v>
      </c>
      <c r="AP49" s="65">
        <f t="shared" si="8"/>
        <v>0</v>
      </c>
      <c r="AQ49" s="16">
        <f t="shared" si="9"/>
        <v>1</v>
      </c>
      <c r="AR49" s="16">
        <f t="shared" si="10"/>
        <v>0</v>
      </c>
      <c r="AS49" s="66">
        <f t="shared" si="11"/>
        <v>0</v>
      </c>
      <c r="AT49" s="67">
        <f t="shared" si="12"/>
        <v>0</v>
      </c>
      <c r="AU49" s="68">
        <f t="shared" si="13"/>
        <v>0</v>
      </c>
      <c r="AV49" s="19">
        <f t="shared" si="14"/>
        <v>0</v>
      </c>
      <c r="AW49" s="69">
        <f t="shared" si="15"/>
        <v>0</v>
      </c>
      <c r="AY49" s="65">
        <f t="shared" si="16"/>
        <v>1</v>
      </c>
      <c r="AZ49" s="16">
        <f t="shared" si="17"/>
        <v>1</v>
      </c>
      <c r="BA49" s="16">
        <f t="shared" si="18"/>
        <v>1</v>
      </c>
      <c r="BB49" s="70">
        <f t="shared" si="19"/>
        <v>989.89</v>
      </c>
      <c r="BC49" s="67">
        <f t="shared" si="20"/>
        <v>23308.31</v>
      </c>
      <c r="BD49" s="71">
        <f t="shared" si="21"/>
        <v>9.8666666666666671</v>
      </c>
      <c r="BE49" s="19">
        <f t="shared" si="22"/>
        <v>5.2951805699009286E-3</v>
      </c>
      <c r="BF49" s="69">
        <f t="shared" si="23"/>
        <v>5.4523186656444457E-8</v>
      </c>
      <c r="BH49" s="72">
        <f t="shared" si="24"/>
        <v>23308.31</v>
      </c>
      <c r="BI49" s="73">
        <f t="shared" si="25"/>
        <v>1</v>
      </c>
      <c r="BJ49" s="74">
        <f t="shared" si="26"/>
        <v>2.0721533325847312E-3</v>
      </c>
      <c r="BK49" s="75">
        <f t="shared" si="27"/>
        <v>2.1336458963363467E-8</v>
      </c>
      <c r="BM49" s="76">
        <f t="shared" si="28"/>
        <v>1</v>
      </c>
    </row>
    <row r="50" spans="1:65" ht="12.75" customHeight="1" x14ac:dyDescent="0.2">
      <c r="A50" s="47"/>
      <c r="B50" s="48" t="s">
        <v>141</v>
      </c>
      <c r="C50" s="49">
        <v>24750</v>
      </c>
      <c r="D50" s="50">
        <v>12</v>
      </c>
      <c r="E50" s="49">
        <v>24434.38</v>
      </c>
      <c r="F50" s="50" t="s">
        <v>63</v>
      </c>
      <c r="G50" s="51">
        <v>39629</v>
      </c>
      <c r="H50" s="52" t="s">
        <v>56</v>
      </c>
      <c r="I50" s="51">
        <v>39800</v>
      </c>
      <c r="J50" s="52">
        <f t="shared" si="0"/>
        <v>5.7</v>
      </c>
      <c r="K50" s="53" t="s">
        <v>142</v>
      </c>
      <c r="L50" s="53">
        <v>24316</v>
      </c>
      <c r="M50" s="54">
        <v>611.89</v>
      </c>
      <c r="N50" s="54">
        <v>0</v>
      </c>
      <c r="O50" s="54">
        <v>0</v>
      </c>
      <c r="P50" s="54">
        <v>507.83</v>
      </c>
      <c r="Q50" s="54">
        <f t="shared" si="2"/>
        <v>730.270000000001</v>
      </c>
      <c r="R50" s="55">
        <f t="shared" si="3"/>
        <v>2.9886987105872995E-2</v>
      </c>
      <c r="S50" s="55">
        <f t="shared" si="4"/>
        <v>0.97011301289412699</v>
      </c>
      <c r="T50" s="56"/>
      <c r="V50" s="57"/>
      <c r="W50" s="58"/>
      <c r="X50" s="58"/>
      <c r="Y50" s="58"/>
      <c r="Z50" s="58"/>
      <c r="AA50" s="58"/>
      <c r="AB50" s="58">
        <f t="shared" si="5"/>
        <v>0</v>
      </c>
      <c r="AC50" s="58"/>
      <c r="AD50" s="59"/>
      <c r="AE50" s="60"/>
      <c r="AF50" s="61"/>
      <c r="AG50" s="59"/>
      <c r="AH50" s="60"/>
      <c r="AI50" s="62"/>
      <c r="AJ50" s="62">
        <f t="shared" si="6"/>
        <v>0</v>
      </c>
      <c r="AK50" s="63"/>
      <c r="AL50" s="64">
        <f t="shared" si="7"/>
        <v>0</v>
      </c>
      <c r="AP50" s="65">
        <f t="shared" si="8"/>
        <v>0</v>
      </c>
      <c r="AQ50" s="16">
        <f t="shared" si="9"/>
        <v>1</v>
      </c>
      <c r="AR50" s="16">
        <f t="shared" si="10"/>
        <v>0</v>
      </c>
      <c r="AS50" s="66">
        <f t="shared" si="11"/>
        <v>0</v>
      </c>
      <c r="AT50" s="67">
        <f t="shared" si="12"/>
        <v>0</v>
      </c>
      <c r="AU50" s="68">
        <f t="shared" si="13"/>
        <v>0</v>
      </c>
      <c r="AV50" s="19">
        <f t="shared" si="14"/>
        <v>0</v>
      </c>
      <c r="AW50" s="69">
        <f t="shared" si="15"/>
        <v>0</v>
      </c>
      <c r="AY50" s="65">
        <f t="shared" si="16"/>
        <v>1</v>
      </c>
      <c r="AZ50" s="16">
        <f t="shared" si="17"/>
        <v>1</v>
      </c>
      <c r="BA50" s="16">
        <f t="shared" si="18"/>
        <v>1</v>
      </c>
      <c r="BB50" s="70">
        <f t="shared" si="19"/>
        <v>0</v>
      </c>
      <c r="BC50" s="67">
        <f t="shared" si="20"/>
        <v>24434.38</v>
      </c>
      <c r="BD50" s="71">
        <f t="shared" si="21"/>
        <v>5.7</v>
      </c>
      <c r="BE50" s="19">
        <f t="shared" si="22"/>
        <v>5.5510010898935118E-3</v>
      </c>
      <c r="BF50" s="69">
        <f t="shared" si="23"/>
        <v>1.6590269799833431E-4</v>
      </c>
      <c r="BH50" s="72">
        <f t="shared" si="24"/>
        <v>24434.38</v>
      </c>
      <c r="BI50" s="73">
        <f t="shared" si="25"/>
        <v>1</v>
      </c>
      <c r="BJ50" s="74">
        <f t="shared" si="26"/>
        <v>2.1722631090217055E-3</v>
      </c>
      <c r="BK50" s="75">
        <f t="shared" si="27"/>
        <v>6.4922399529895292E-5</v>
      </c>
      <c r="BM50" s="76">
        <f t="shared" si="28"/>
        <v>1</v>
      </c>
    </row>
    <row r="51" spans="1:65" ht="12.75" customHeight="1" x14ac:dyDescent="0.2">
      <c r="A51" s="47"/>
      <c r="B51" s="48" t="s">
        <v>143</v>
      </c>
      <c r="C51" s="49">
        <v>17850</v>
      </c>
      <c r="D51" s="50">
        <v>13</v>
      </c>
      <c r="E51" s="49">
        <v>17488.16</v>
      </c>
      <c r="F51" s="50" t="s">
        <v>55</v>
      </c>
      <c r="G51" s="51">
        <v>39629</v>
      </c>
      <c r="H51" s="52" t="s">
        <v>56</v>
      </c>
      <c r="I51" s="51">
        <v>39959</v>
      </c>
      <c r="J51" s="52">
        <f t="shared" si="0"/>
        <v>11</v>
      </c>
      <c r="K51" s="53" t="s">
        <v>144</v>
      </c>
      <c r="L51" s="53">
        <v>20715.23</v>
      </c>
      <c r="M51" s="54">
        <v>1075.78</v>
      </c>
      <c r="N51" s="54">
        <v>3178.85</v>
      </c>
      <c r="O51" s="54">
        <v>401.01</v>
      </c>
      <c r="P51" s="54">
        <v>0</v>
      </c>
      <c r="Q51" s="54">
        <f t="shared" si="2"/>
        <v>1428.57</v>
      </c>
      <c r="R51" s="55">
        <f t="shared" si="3"/>
        <v>8.1687839086559133E-2</v>
      </c>
      <c r="S51" s="55">
        <f t="shared" si="4"/>
        <v>0.91831216091344081</v>
      </c>
      <c r="T51" s="56"/>
      <c r="V51" s="57"/>
      <c r="W51" s="58"/>
      <c r="X51" s="58"/>
      <c r="Y51" s="58"/>
      <c r="Z51" s="58"/>
      <c r="AA51" s="58"/>
      <c r="AB51" s="58">
        <f t="shared" si="5"/>
        <v>0</v>
      </c>
      <c r="AC51" s="58"/>
      <c r="AD51" s="59"/>
      <c r="AE51" s="60"/>
      <c r="AF51" s="61"/>
      <c r="AG51" s="59"/>
      <c r="AH51" s="60"/>
      <c r="AI51" s="62"/>
      <c r="AJ51" s="62">
        <f t="shared" si="6"/>
        <v>0</v>
      </c>
      <c r="AK51" s="63"/>
      <c r="AL51" s="64">
        <f t="shared" si="7"/>
        <v>0</v>
      </c>
      <c r="AP51" s="65">
        <f t="shared" si="8"/>
        <v>1</v>
      </c>
      <c r="AQ51" s="16">
        <f t="shared" si="9"/>
        <v>1</v>
      </c>
      <c r="AR51" s="16">
        <f t="shared" si="10"/>
        <v>1</v>
      </c>
      <c r="AS51" s="66">
        <f t="shared" si="11"/>
        <v>3579.8599999999997</v>
      </c>
      <c r="AT51" s="67">
        <f t="shared" si="12"/>
        <v>17488.16</v>
      </c>
      <c r="AU51" s="68">
        <f t="shared" si="13"/>
        <v>11</v>
      </c>
      <c r="AV51" s="19">
        <f t="shared" si="14"/>
        <v>2.5543006851935063E-3</v>
      </c>
      <c r="AW51" s="69">
        <f t="shared" si="15"/>
        <v>2.0865530335077489E-4</v>
      </c>
      <c r="AY51" s="65">
        <f t="shared" si="16"/>
        <v>0</v>
      </c>
      <c r="AZ51" s="16">
        <f t="shared" si="17"/>
        <v>1</v>
      </c>
      <c r="BA51" s="16">
        <f t="shared" si="18"/>
        <v>0</v>
      </c>
      <c r="BB51" s="70">
        <f t="shared" si="19"/>
        <v>0</v>
      </c>
      <c r="BC51" s="67">
        <f t="shared" si="20"/>
        <v>0</v>
      </c>
      <c r="BD51" s="71">
        <f t="shared" si="21"/>
        <v>0</v>
      </c>
      <c r="BE51" s="19">
        <f t="shared" si="22"/>
        <v>0</v>
      </c>
      <c r="BF51" s="69">
        <f t="shared" si="23"/>
        <v>0</v>
      </c>
      <c r="BH51" s="72">
        <f t="shared" si="24"/>
        <v>17488.16</v>
      </c>
      <c r="BI51" s="73">
        <f t="shared" si="25"/>
        <v>1</v>
      </c>
      <c r="BJ51" s="74">
        <f t="shared" si="26"/>
        <v>1.5547308674363346E-3</v>
      </c>
      <c r="BK51" s="75">
        <f t="shared" si="27"/>
        <v>1.2700260492204581E-4</v>
      </c>
      <c r="BM51" s="76">
        <f t="shared" si="28"/>
        <v>1</v>
      </c>
    </row>
    <row r="52" spans="1:65" ht="12.75" customHeight="1" x14ac:dyDescent="0.2">
      <c r="A52" s="47"/>
      <c r="B52" s="48" t="s">
        <v>145</v>
      </c>
      <c r="C52" s="49">
        <v>25440</v>
      </c>
      <c r="D52" s="50">
        <v>12</v>
      </c>
      <c r="E52" s="49">
        <v>23653.74</v>
      </c>
      <c r="F52" s="50" t="s">
        <v>55</v>
      </c>
      <c r="G52" s="51">
        <v>39691</v>
      </c>
      <c r="H52" s="52" t="s">
        <v>56</v>
      </c>
      <c r="I52" s="51">
        <v>39965</v>
      </c>
      <c r="J52" s="52">
        <f t="shared" si="0"/>
        <v>9.1333333333333329</v>
      </c>
      <c r="K52" s="53" t="s">
        <v>146</v>
      </c>
      <c r="L52" s="53">
        <v>26500</v>
      </c>
      <c r="M52" s="54">
        <v>884</v>
      </c>
      <c r="N52" s="54">
        <v>3687.83</v>
      </c>
      <c r="O52" s="54">
        <v>0</v>
      </c>
      <c r="P52" s="54">
        <f t="shared" ref="P52:P58" si="30">IF(L52="N/A",0,IF(L52-E52&gt;0,0,E52-L52))</f>
        <v>0</v>
      </c>
      <c r="Q52" s="54">
        <f t="shared" si="2"/>
        <v>1725.5700000000015</v>
      </c>
      <c r="R52" s="55">
        <f t="shared" si="3"/>
        <v>7.2951254220262898E-2</v>
      </c>
      <c r="S52" s="55">
        <f t="shared" si="4"/>
        <v>0.92704874577973706</v>
      </c>
      <c r="T52" s="56"/>
      <c r="V52" s="57"/>
      <c r="W52" s="58"/>
      <c r="X52" s="58"/>
      <c r="Y52" s="58"/>
      <c r="Z52" s="58"/>
      <c r="AA52" s="58"/>
      <c r="AB52" s="58">
        <f t="shared" si="5"/>
        <v>0</v>
      </c>
      <c r="AC52" s="58"/>
      <c r="AD52" s="59"/>
      <c r="AE52" s="60"/>
      <c r="AF52" s="61"/>
      <c r="AG52" s="59"/>
      <c r="AH52" s="60"/>
      <c r="AI52" s="62"/>
      <c r="AJ52" s="62">
        <f t="shared" si="6"/>
        <v>0</v>
      </c>
      <c r="AK52" s="63"/>
      <c r="AL52" s="64">
        <f t="shared" si="7"/>
        <v>0</v>
      </c>
      <c r="AP52" s="65">
        <f t="shared" si="8"/>
        <v>1</v>
      </c>
      <c r="AQ52" s="16">
        <f t="shared" si="9"/>
        <v>1</v>
      </c>
      <c r="AR52" s="16">
        <f t="shared" si="10"/>
        <v>1</v>
      </c>
      <c r="AS52" s="66">
        <f t="shared" si="11"/>
        <v>3687.83</v>
      </c>
      <c r="AT52" s="67">
        <f t="shared" si="12"/>
        <v>23653.74</v>
      </c>
      <c r="AU52" s="68">
        <f t="shared" si="13"/>
        <v>9.1333333333333329</v>
      </c>
      <c r="AV52" s="19">
        <f t="shared" si="14"/>
        <v>3.4548382613945124E-3</v>
      </c>
      <c r="AW52" s="69">
        <f t="shared" si="15"/>
        <v>2.5203478429688215E-4</v>
      </c>
      <c r="AY52" s="65">
        <f t="shared" si="16"/>
        <v>0</v>
      </c>
      <c r="AZ52" s="16">
        <f t="shared" si="17"/>
        <v>1</v>
      </c>
      <c r="BA52" s="16">
        <f t="shared" si="18"/>
        <v>0</v>
      </c>
      <c r="BB52" s="70">
        <f t="shared" si="19"/>
        <v>0</v>
      </c>
      <c r="BC52" s="67">
        <f t="shared" si="20"/>
        <v>0</v>
      </c>
      <c r="BD52" s="71">
        <f t="shared" si="21"/>
        <v>0</v>
      </c>
      <c r="BE52" s="19">
        <f t="shared" si="22"/>
        <v>0</v>
      </c>
      <c r="BF52" s="69">
        <f t="shared" si="23"/>
        <v>0</v>
      </c>
      <c r="BH52" s="72">
        <f t="shared" si="24"/>
        <v>23653.74</v>
      </c>
      <c r="BI52" s="73">
        <f t="shared" si="25"/>
        <v>1</v>
      </c>
      <c r="BJ52" s="74">
        <f t="shared" si="26"/>
        <v>2.1028627201668745E-3</v>
      </c>
      <c r="BK52" s="75">
        <f t="shared" si="27"/>
        <v>1.5340647288920723E-4</v>
      </c>
      <c r="BM52" s="76">
        <f t="shared" si="28"/>
        <v>1</v>
      </c>
    </row>
    <row r="53" spans="1:65" ht="12.75" customHeight="1" x14ac:dyDescent="0.2">
      <c r="A53" s="47"/>
      <c r="B53" s="48" t="s">
        <v>147</v>
      </c>
      <c r="C53" s="49">
        <v>20950</v>
      </c>
      <c r="D53" s="50">
        <v>8</v>
      </c>
      <c r="E53" s="49">
        <v>19904.62</v>
      </c>
      <c r="F53" s="50" t="s">
        <v>63</v>
      </c>
      <c r="G53" s="51">
        <v>39813</v>
      </c>
      <c r="H53" s="52" t="s">
        <v>56</v>
      </c>
      <c r="I53" s="51">
        <v>39873</v>
      </c>
      <c r="J53" s="52">
        <f t="shared" si="0"/>
        <v>2</v>
      </c>
      <c r="K53" s="53" t="s">
        <v>148</v>
      </c>
      <c r="L53" s="53">
        <v>22965.949999999997</v>
      </c>
      <c r="M53" s="54">
        <v>248.58999999999997</v>
      </c>
      <c r="N53" s="54">
        <v>1119.1099999999999</v>
      </c>
      <c r="O53" s="54">
        <v>2986.03</v>
      </c>
      <c r="P53" s="54">
        <f t="shared" si="30"/>
        <v>0</v>
      </c>
      <c r="Q53" s="54">
        <f t="shared" si="2"/>
        <v>1292.4000000000021</v>
      </c>
      <c r="R53" s="55">
        <f t="shared" si="3"/>
        <v>6.4929649498458253E-2</v>
      </c>
      <c r="S53" s="55">
        <f t="shared" si="4"/>
        <v>0.93507035050154175</v>
      </c>
      <c r="T53" s="56"/>
      <c r="V53" s="57"/>
      <c r="W53" s="58"/>
      <c r="X53" s="58"/>
      <c r="Y53" s="58"/>
      <c r="Z53" s="58"/>
      <c r="AA53" s="58"/>
      <c r="AB53" s="58">
        <f t="shared" si="5"/>
        <v>0</v>
      </c>
      <c r="AC53" s="58"/>
      <c r="AD53" s="59"/>
      <c r="AE53" s="60"/>
      <c r="AF53" s="61"/>
      <c r="AG53" s="59"/>
      <c r="AH53" s="60"/>
      <c r="AI53" s="62"/>
      <c r="AJ53" s="62">
        <f t="shared" si="6"/>
        <v>0</v>
      </c>
      <c r="AK53" s="63"/>
      <c r="AL53" s="64">
        <f t="shared" si="7"/>
        <v>0</v>
      </c>
      <c r="AP53" s="65">
        <f t="shared" si="8"/>
        <v>0</v>
      </c>
      <c r="AQ53" s="16">
        <f t="shared" si="9"/>
        <v>1</v>
      </c>
      <c r="AR53" s="16">
        <f t="shared" si="10"/>
        <v>0</v>
      </c>
      <c r="AS53" s="66">
        <f t="shared" si="11"/>
        <v>0</v>
      </c>
      <c r="AT53" s="67">
        <f t="shared" si="12"/>
        <v>0</v>
      </c>
      <c r="AU53" s="68">
        <f t="shared" si="13"/>
        <v>0</v>
      </c>
      <c r="AV53" s="19">
        <f t="shared" si="14"/>
        <v>0</v>
      </c>
      <c r="AW53" s="69">
        <f t="shared" si="15"/>
        <v>0</v>
      </c>
      <c r="AY53" s="65">
        <f t="shared" si="16"/>
        <v>1</v>
      </c>
      <c r="AZ53" s="16">
        <f t="shared" si="17"/>
        <v>1</v>
      </c>
      <c r="BA53" s="16">
        <f t="shared" si="18"/>
        <v>1</v>
      </c>
      <c r="BB53" s="70">
        <f t="shared" si="19"/>
        <v>4105.1400000000003</v>
      </c>
      <c r="BC53" s="67">
        <f t="shared" si="20"/>
        <v>19904.62</v>
      </c>
      <c r="BD53" s="71">
        <f t="shared" si="21"/>
        <v>2</v>
      </c>
      <c r="BE53" s="19">
        <f t="shared" si="22"/>
        <v>4.5219304649398179E-3</v>
      </c>
      <c r="BF53" s="69">
        <f t="shared" si="23"/>
        <v>2.9360736014494277E-4</v>
      </c>
      <c r="BH53" s="72">
        <f t="shared" si="24"/>
        <v>19904.62</v>
      </c>
      <c r="BI53" s="73">
        <f t="shared" si="25"/>
        <v>1</v>
      </c>
      <c r="BJ53" s="74">
        <f t="shared" si="26"/>
        <v>1.7695587825471986E-3</v>
      </c>
      <c r="BK53" s="75">
        <f t="shared" si="27"/>
        <v>1.148968315177081E-4</v>
      </c>
      <c r="BM53" s="76">
        <f t="shared" si="28"/>
        <v>1</v>
      </c>
    </row>
    <row r="54" spans="1:65" ht="12.75" customHeight="1" x14ac:dyDescent="0.2">
      <c r="A54" s="47"/>
      <c r="B54" s="48" t="s">
        <v>149</v>
      </c>
      <c r="C54" s="49">
        <v>19950</v>
      </c>
      <c r="D54" s="50">
        <v>13</v>
      </c>
      <c r="E54" s="49">
        <f>17009.4+2186.19</f>
        <v>19195.59</v>
      </c>
      <c r="F54" s="50" t="s">
        <v>63</v>
      </c>
      <c r="G54" s="51">
        <v>39813</v>
      </c>
      <c r="H54" s="52" t="s">
        <v>56</v>
      </c>
      <c r="I54" s="51">
        <v>39873</v>
      </c>
      <c r="J54" s="52">
        <f t="shared" si="0"/>
        <v>2</v>
      </c>
      <c r="K54" s="53" t="s">
        <v>150</v>
      </c>
      <c r="L54" s="53">
        <v>21509.4</v>
      </c>
      <c r="M54" s="54">
        <v>646.78</v>
      </c>
      <c r="N54" s="54">
        <v>700.74</v>
      </c>
      <c r="O54" s="54">
        <v>1963</v>
      </c>
      <c r="P54" s="54">
        <f t="shared" si="30"/>
        <v>0</v>
      </c>
      <c r="Q54" s="54">
        <f t="shared" si="2"/>
        <v>996.70999999999867</v>
      </c>
      <c r="R54" s="55">
        <f t="shared" si="3"/>
        <v>5.192390543869705E-2</v>
      </c>
      <c r="S54" s="55">
        <f t="shared" si="4"/>
        <v>0.94807609456130293</v>
      </c>
      <c r="T54" s="56"/>
      <c r="V54" s="57"/>
      <c r="W54" s="58"/>
      <c r="X54" s="58"/>
      <c r="Y54" s="58"/>
      <c r="Z54" s="58"/>
      <c r="AA54" s="58"/>
      <c r="AB54" s="58">
        <f t="shared" si="5"/>
        <v>0</v>
      </c>
      <c r="AC54" s="58"/>
      <c r="AD54" s="59"/>
      <c r="AE54" s="60"/>
      <c r="AF54" s="61"/>
      <c r="AG54" s="59"/>
      <c r="AH54" s="60"/>
      <c r="AI54" s="62"/>
      <c r="AJ54" s="62">
        <f t="shared" si="6"/>
        <v>0</v>
      </c>
      <c r="AK54" s="63"/>
      <c r="AL54" s="64">
        <f t="shared" si="7"/>
        <v>0</v>
      </c>
      <c r="AP54" s="65">
        <f t="shared" si="8"/>
        <v>0</v>
      </c>
      <c r="AQ54" s="16">
        <f t="shared" si="9"/>
        <v>1</v>
      </c>
      <c r="AR54" s="16">
        <f t="shared" si="10"/>
        <v>0</v>
      </c>
      <c r="AS54" s="66">
        <f t="shared" si="11"/>
        <v>0</v>
      </c>
      <c r="AT54" s="67">
        <f t="shared" si="12"/>
        <v>0</v>
      </c>
      <c r="AU54" s="68">
        <f t="shared" si="13"/>
        <v>0</v>
      </c>
      <c r="AV54" s="19">
        <f t="shared" si="14"/>
        <v>0</v>
      </c>
      <c r="AW54" s="69">
        <f t="shared" si="15"/>
        <v>0</v>
      </c>
      <c r="AY54" s="65">
        <f t="shared" si="16"/>
        <v>1</v>
      </c>
      <c r="AZ54" s="16">
        <f t="shared" si="17"/>
        <v>1</v>
      </c>
      <c r="BA54" s="16">
        <f t="shared" si="18"/>
        <v>1</v>
      </c>
      <c r="BB54" s="70">
        <f t="shared" si="19"/>
        <v>2663.74</v>
      </c>
      <c r="BC54" s="67">
        <f t="shared" si="20"/>
        <v>19195.59</v>
      </c>
      <c r="BD54" s="71">
        <f t="shared" si="21"/>
        <v>2</v>
      </c>
      <c r="BE54" s="19">
        <f t="shared" si="22"/>
        <v>4.360853068960579E-3</v>
      </c>
      <c r="BF54" s="69">
        <f t="shared" si="23"/>
        <v>2.2643252238476093E-4</v>
      </c>
      <c r="BH54" s="72">
        <f t="shared" si="24"/>
        <v>19195.59</v>
      </c>
      <c r="BI54" s="73">
        <f t="shared" si="25"/>
        <v>1</v>
      </c>
      <c r="BJ54" s="74">
        <f t="shared" si="26"/>
        <v>1.7065246596355611E-3</v>
      </c>
      <c r="BK54" s="75">
        <f t="shared" si="27"/>
        <v>8.8609425055721541E-5</v>
      </c>
      <c r="BM54" s="76">
        <f t="shared" si="28"/>
        <v>1</v>
      </c>
    </row>
    <row r="55" spans="1:65" ht="12.75" customHeight="1" x14ac:dyDescent="0.2">
      <c r="A55" s="47"/>
      <c r="B55" s="48" t="s">
        <v>151</v>
      </c>
      <c r="C55" s="49">
        <v>18405</v>
      </c>
      <c r="D55" s="50">
        <v>13</v>
      </c>
      <c r="E55" s="49">
        <f>13204.87+4974.01</f>
        <v>18178.88</v>
      </c>
      <c r="F55" s="50" t="s">
        <v>63</v>
      </c>
      <c r="G55" s="51">
        <v>39813</v>
      </c>
      <c r="H55" s="52" t="s">
        <v>56</v>
      </c>
      <c r="I55" s="51">
        <v>39995</v>
      </c>
      <c r="J55" s="52">
        <f t="shared" si="0"/>
        <v>6.0666666666666664</v>
      </c>
      <c r="K55" s="53" t="s">
        <v>152</v>
      </c>
      <c r="L55" s="53">
        <v>18678.88</v>
      </c>
      <c r="M55" s="54">
        <v>91.75</v>
      </c>
      <c r="N55" s="54">
        <v>849.02</v>
      </c>
      <c r="O55" s="54">
        <v>622.5</v>
      </c>
      <c r="P55" s="54">
        <f t="shared" si="30"/>
        <v>0</v>
      </c>
      <c r="Q55" s="54">
        <f t="shared" si="2"/>
        <v>1063.27</v>
      </c>
      <c r="R55" s="55">
        <f t="shared" si="3"/>
        <v>5.8489301871182377E-2</v>
      </c>
      <c r="S55" s="55">
        <f t="shared" si="4"/>
        <v>0.9415106981288176</v>
      </c>
      <c r="T55" s="56"/>
      <c r="V55" s="57"/>
      <c r="W55" s="58"/>
      <c r="X55" s="58"/>
      <c r="Y55" s="58"/>
      <c r="Z55" s="58"/>
      <c r="AA55" s="58"/>
      <c r="AB55" s="58">
        <f t="shared" si="5"/>
        <v>0</v>
      </c>
      <c r="AC55" s="58"/>
      <c r="AD55" s="59"/>
      <c r="AE55" s="60"/>
      <c r="AF55" s="61"/>
      <c r="AG55" s="59"/>
      <c r="AH55" s="60"/>
      <c r="AI55" s="62"/>
      <c r="AJ55" s="62">
        <f t="shared" si="6"/>
        <v>0</v>
      </c>
      <c r="AK55" s="63"/>
      <c r="AL55" s="64">
        <f t="shared" si="7"/>
        <v>0</v>
      </c>
      <c r="AP55" s="65">
        <f t="shared" si="8"/>
        <v>0</v>
      </c>
      <c r="AQ55" s="16">
        <f t="shared" si="9"/>
        <v>1</v>
      </c>
      <c r="AR55" s="16">
        <f t="shared" si="10"/>
        <v>0</v>
      </c>
      <c r="AS55" s="66">
        <f t="shared" si="11"/>
        <v>0</v>
      </c>
      <c r="AT55" s="67">
        <f t="shared" si="12"/>
        <v>0</v>
      </c>
      <c r="AU55" s="68">
        <f t="shared" si="13"/>
        <v>0</v>
      </c>
      <c r="AV55" s="19">
        <f t="shared" si="14"/>
        <v>0</v>
      </c>
      <c r="AW55" s="69">
        <f t="shared" si="15"/>
        <v>0</v>
      </c>
      <c r="AY55" s="65">
        <f t="shared" si="16"/>
        <v>1</v>
      </c>
      <c r="AZ55" s="16">
        <f t="shared" si="17"/>
        <v>1</v>
      </c>
      <c r="BA55" s="16">
        <f t="shared" si="18"/>
        <v>1</v>
      </c>
      <c r="BB55" s="70">
        <f t="shared" si="19"/>
        <v>1471.52</v>
      </c>
      <c r="BC55" s="67">
        <f t="shared" si="20"/>
        <v>18178.88</v>
      </c>
      <c r="BD55" s="71">
        <f t="shared" si="21"/>
        <v>6.0666666666666664</v>
      </c>
      <c r="BE55" s="19">
        <f t="shared" si="22"/>
        <v>4.1298769476877809E-3</v>
      </c>
      <c r="BF55" s="69">
        <f t="shared" si="23"/>
        <v>2.4155361948414788E-4</v>
      </c>
      <c r="BH55" s="72">
        <f t="shared" si="24"/>
        <v>18178.88</v>
      </c>
      <c r="BI55" s="73">
        <f t="shared" si="25"/>
        <v>1</v>
      </c>
      <c r="BJ55" s="74">
        <f t="shared" si="26"/>
        <v>1.6161371963328926E-3</v>
      </c>
      <c r="BK55" s="75">
        <f t="shared" si="27"/>
        <v>9.4526736341560895E-5</v>
      </c>
      <c r="BM55" s="76">
        <f t="shared" si="28"/>
        <v>1</v>
      </c>
    </row>
    <row r="56" spans="1:65" ht="12.75" customHeight="1" x14ac:dyDescent="0.2">
      <c r="A56" s="47"/>
      <c r="B56" s="48" t="s">
        <v>153</v>
      </c>
      <c r="C56" s="49">
        <v>33787.5</v>
      </c>
      <c r="D56" s="50">
        <v>13</v>
      </c>
      <c r="E56" s="49">
        <f>17963.35+15382.94</f>
        <v>33346.29</v>
      </c>
      <c r="F56" s="50" t="s">
        <v>63</v>
      </c>
      <c r="G56" s="51">
        <v>39813</v>
      </c>
      <c r="H56" s="52" t="s">
        <v>56</v>
      </c>
      <c r="I56" s="51">
        <v>40147</v>
      </c>
      <c r="J56" s="52">
        <f t="shared" si="0"/>
        <v>11.133333333333333</v>
      </c>
      <c r="K56" s="53" t="s">
        <v>154</v>
      </c>
      <c r="L56" s="53">
        <v>40000</v>
      </c>
      <c r="M56" s="54">
        <v>1946.94</v>
      </c>
      <c r="N56" s="54">
        <v>851.52</v>
      </c>
      <c r="O56" s="54">
        <v>0</v>
      </c>
      <c r="P56" s="54">
        <f t="shared" si="30"/>
        <v>0</v>
      </c>
      <c r="Q56" s="54">
        <f t="shared" si="2"/>
        <v>0</v>
      </c>
      <c r="R56" s="55">
        <f t="shared" si="3"/>
        <v>0</v>
      </c>
      <c r="S56" s="55">
        <f t="shared" si="4"/>
        <v>1</v>
      </c>
      <c r="T56" s="56"/>
      <c r="V56" s="57"/>
      <c r="W56" s="58"/>
      <c r="X56" s="58"/>
      <c r="Y56" s="58"/>
      <c r="Z56" s="58"/>
      <c r="AA56" s="58"/>
      <c r="AB56" s="58">
        <f t="shared" si="5"/>
        <v>0</v>
      </c>
      <c r="AC56" s="58"/>
      <c r="AD56" s="59"/>
      <c r="AE56" s="60"/>
      <c r="AF56" s="61"/>
      <c r="AG56" s="59"/>
      <c r="AH56" s="60"/>
      <c r="AI56" s="62"/>
      <c r="AJ56" s="62">
        <f t="shared" si="6"/>
        <v>0</v>
      </c>
      <c r="AK56" s="63"/>
      <c r="AL56" s="64">
        <f t="shared" si="7"/>
        <v>0</v>
      </c>
      <c r="AP56" s="65">
        <f t="shared" si="8"/>
        <v>0</v>
      </c>
      <c r="AQ56" s="16">
        <f t="shared" si="9"/>
        <v>1</v>
      </c>
      <c r="AR56" s="16">
        <f t="shared" si="10"/>
        <v>0</v>
      </c>
      <c r="AS56" s="66">
        <f t="shared" si="11"/>
        <v>0</v>
      </c>
      <c r="AT56" s="67">
        <f t="shared" si="12"/>
        <v>0</v>
      </c>
      <c r="AU56" s="68">
        <f t="shared" si="13"/>
        <v>0</v>
      </c>
      <c r="AV56" s="19">
        <f t="shared" si="14"/>
        <v>0</v>
      </c>
      <c r="AW56" s="69">
        <f t="shared" si="15"/>
        <v>0</v>
      </c>
      <c r="AY56" s="65">
        <f t="shared" si="16"/>
        <v>1</v>
      </c>
      <c r="AZ56" s="16">
        <f t="shared" si="17"/>
        <v>1</v>
      </c>
      <c r="BA56" s="16">
        <f t="shared" si="18"/>
        <v>1</v>
      </c>
      <c r="BB56" s="70">
        <f t="shared" si="19"/>
        <v>851.52</v>
      </c>
      <c r="BC56" s="67">
        <f t="shared" si="20"/>
        <v>33346.29</v>
      </c>
      <c r="BD56" s="71">
        <f t="shared" si="21"/>
        <v>11.133333333333333</v>
      </c>
      <c r="BE56" s="19">
        <f t="shared" si="22"/>
        <v>7.5756083082077433E-3</v>
      </c>
      <c r="BF56" s="69">
        <f t="shared" si="23"/>
        <v>0</v>
      </c>
      <c r="BH56" s="72">
        <f t="shared" si="24"/>
        <v>33346.29</v>
      </c>
      <c r="BI56" s="73">
        <f t="shared" si="25"/>
        <v>1</v>
      </c>
      <c r="BJ56" s="74">
        <f t="shared" si="26"/>
        <v>2.9645489506891277E-3</v>
      </c>
      <c r="BK56" s="75">
        <f t="shared" si="27"/>
        <v>0</v>
      </c>
      <c r="BM56" s="76">
        <f t="shared" si="28"/>
        <v>1</v>
      </c>
    </row>
    <row r="57" spans="1:65" ht="12.75" customHeight="1" x14ac:dyDescent="0.2">
      <c r="A57" s="47"/>
      <c r="B57" s="48" t="s">
        <v>155</v>
      </c>
      <c r="C57" s="49">
        <v>19294.900000000001</v>
      </c>
      <c r="D57" s="50">
        <v>13</v>
      </c>
      <c r="E57" s="49">
        <v>18383.84</v>
      </c>
      <c r="F57" s="50" t="s">
        <v>63</v>
      </c>
      <c r="G57" s="51">
        <v>39813</v>
      </c>
      <c r="H57" s="52" t="s">
        <v>56</v>
      </c>
      <c r="I57" s="51">
        <v>40478</v>
      </c>
      <c r="J57" s="52">
        <f t="shared" si="0"/>
        <v>22.166666666666668</v>
      </c>
      <c r="K57" s="53" t="s">
        <v>156</v>
      </c>
      <c r="L57" s="53">
        <v>21500</v>
      </c>
      <c r="M57" s="54">
        <v>751</v>
      </c>
      <c r="N57" s="54">
        <v>1797.01</v>
      </c>
      <c r="O57" s="54">
        <v>17.420000000000002</v>
      </c>
      <c r="P57" s="54">
        <f t="shared" si="30"/>
        <v>0</v>
      </c>
      <c r="Q57" s="54">
        <f t="shared" si="2"/>
        <v>0</v>
      </c>
      <c r="R57" s="55">
        <f t="shared" si="3"/>
        <v>0</v>
      </c>
      <c r="S57" s="55">
        <f t="shared" si="4"/>
        <v>1</v>
      </c>
      <c r="T57" s="56"/>
      <c r="V57" s="57"/>
      <c r="W57" s="58"/>
      <c r="X57" s="58"/>
      <c r="Y57" s="58"/>
      <c r="Z57" s="58"/>
      <c r="AA57" s="58"/>
      <c r="AB57" s="58">
        <f t="shared" si="5"/>
        <v>0</v>
      </c>
      <c r="AC57" s="58"/>
      <c r="AD57" s="59"/>
      <c r="AE57" s="60"/>
      <c r="AF57" s="61"/>
      <c r="AG57" s="59"/>
      <c r="AH57" s="60"/>
      <c r="AI57" s="62"/>
      <c r="AJ57" s="62">
        <f t="shared" si="6"/>
        <v>0</v>
      </c>
      <c r="AK57" s="63"/>
      <c r="AL57" s="64">
        <f t="shared" si="7"/>
        <v>0</v>
      </c>
      <c r="AP57" s="65">
        <f t="shared" si="8"/>
        <v>0</v>
      </c>
      <c r="AQ57" s="16">
        <f t="shared" si="9"/>
        <v>1</v>
      </c>
      <c r="AR57" s="16">
        <f t="shared" si="10"/>
        <v>0</v>
      </c>
      <c r="AS57" s="66">
        <f t="shared" si="11"/>
        <v>0</v>
      </c>
      <c r="AT57" s="67">
        <f t="shared" si="12"/>
        <v>0</v>
      </c>
      <c r="AU57" s="68">
        <f t="shared" si="13"/>
        <v>0</v>
      </c>
      <c r="AV57" s="19">
        <f t="shared" si="14"/>
        <v>0</v>
      </c>
      <c r="AW57" s="69">
        <f t="shared" si="15"/>
        <v>0</v>
      </c>
      <c r="AY57" s="65">
        <f t="shared" si="16"/>
        <v>1</v>
      </c>
      <c r="AZ57" s="16">
        <f t="shared" si="17"/>
        <v>1</v>
      </c>
      <c r="BA57" s="16">
        <f t="shared" si="18"/>
        <v>1</v>
      </c>
      <c r="BB57" s="70">
        <f t="shared" si="19"/>
        <v>1814.43</v>
      </c>
      <c r="BC57" s="67">
        <f t="shared" si="20"/>
        <v>18383.84</v>
      </c>
      <c r="BD57" s="71">
        <f t="shared" si="21"/>
        <v>22.166666666666668</v>
      </c>
      <c r="BE57" s="19">
        <f t="shared" si="22"/>
        <v>4.1764397490923833E-3</v>
      </c>
      <c r="BF57" s="69">
        <f t="shared" si="23"/>
        <v>0</v>
      </c>
      <c r="BH57" s="72">
        <f t="shared" si="24"/>
        <v>18383.84</v>
      </c>
      <c r="BI57" s="73">
        <f t="shared" si="25"/>
        <v>1</v>
      </c>
      <c r="BJ57" s="74">
        <f t="shared" si="26"/>
        <v>1.6343585322876042E-3</v>
      </c>
      <c r="BK57" s="75">
        <f t="shared" si="27"/>
        <v>0</v>
      </c>
      <c r="BM57" s="76">
        <f t="shared" si="28"/>
        <v>1</v>
      </c>
    </row>
    <row r="58" spans="1:65" ht="12.75" customHeight="1" x14ac:dyDescent="0.2">
      <c r="A58" s="47"/>
      <c r="B58" s="48" t="s">
        <v>157</v>
      </c>
      <c r="C58" s="49">
        <v>27720</v>
      </c>
      <c r="D58" s="50">
        <v>13</v>
      </c>
      <c r="E58" s="49">
        <v>26818.639999999999</v>
      </c>
      <c r="F58" s="50" t="s">
        <v>63</v>
      </c>
      <c r="G58" s="51">
        <v>39833</v>
      </c>
      <c r="H58" s="52" t="s">
        <v>56</v>
      </c>
      <c r="I58" s="51">
        <v>40156</v>
      </c>
      <c r="J58" s="52">
        <f t="shared" si="0"/>
        <v>10.766666666666667</v>
      </c>
      <c r="K58" s="53" t="s">
        <v>158</v>
      </c>
      <c r="L58" s="53">
        <v>34675</v>
      </c>
      <c r="M58" s="54">
        <v>4163.79</v>
      </c>
      <c r="N58" s="54">
        <v>3377.8</v>
      </c>
      <c r="O58" s="54">
        <v>3647.98</v>
      </c>
      <c r="P58" s="54">
        <f t="shared" si="30"/>
        <v>0</v>
      </c>
      <c r="Q58" s="54">
        <f t="shared" si="2"/>
        <v>3333.2099999999996</v>
      </c>
      <c r="R58" s="55">
        <f t="shared" si="3"/>
        <v>0.12428706302780453</v>
      </c>
      <c r="S58" s="55">
        <f t="shared" si="4"/>
        <v>0.87571293697219543</v>
      </c>
      <c r="T58" s="56"/>
      <c r="V58" s="57"/>
      <c r="W58" s="58"/>
      <c r="X58" s="58"/>
      <c r="Y58" s="58"/>
      <c r="Z58" s="58"/>
      <c r="AA58" s="58"/>
      <c r="AB58" s="58">
        <f t="shared" si="5"/>
        <v>0</v>
      </c>
      <c r="AC58" s="58"/>
      <c r="AD58" s="59"/>
      <c r="AE58" s="60"/>
      <c r="AF58" s="61"/>
      <c r="AG58" s="59"/>
      <c r="AH58" s="60"/>
      <c r="AI58" s="62"/>
      <c r="AJ58" s="62">
        <f t="shared" si="6"/>
        <v>0</v>
      </c>
      <c r="AK58" s="63"/>
      <c r="AL58" s="64">
        <f t="shared" si="7"/>
        <v>0</v>
      </c>
      <c r="AP58" s="65">
        <f t="shared" si="8"/>
        <v>0</v>
      </c>
      <c r="AQ58" s="16">
        <f t="shared" si="9"/>
        <v>1</v>
      </c>
      <c r="AR58" s="16">
        <f t="shared" si="10"/>
        <v>0</v>
      </c>
      <c r="AS58" s="66">
        <f t="shared" si="11"/>
        <v>0</v>
      </c>
      <c r="AT58" s="67">
        <f t="shared" si="12"/>
        <v>0</v>
      </c>
      <c r="AU58" s="68">
        <f t="shared" si="13"/>
        <v>0</v>
      </c>
      <c r="AV58" s="19">
        <f t="shared" si="14"/>
        <v>0</v>
      </c>
      <c r="AW58" s="69">
        <f t="shared" si="15"/>
        <v>0</v>
      </c>
      <c r="AY58" s="65">
        <f t="shared" si="16"/>
        <v>1</v>
      </c>
      <c r="AZ58" s="16">
        <f t="shared" si="17"/>
        <v>1</v>
      </c>
      <c r="BA58" s="16">
        <f t="shared" si="18"/>
        <v>1</v>
      </c>
      <c r="BB58" s="70">
        <f t="shared" si="19"/>
        <v>7025.7800000000007</v>
      </c>
      <c r="BC58" s="67">
        <f t="shared" si="20"/>
        <v>26818.639999999999</v>
      </c>
      <c r="BD58" s="71">
        <f t="shared" si="21"/>
        <v>10.766666666666667</v>
      </c>
      <c r="BE58" s="19">
        <f t="shared" si="22"/>
        <v>6.0926571441330506E-3</v>
      </c>
      <c r="BF58" s="69">
        <f t="shared" si="23"/>
        <v>7.5723846247966798E-4</v>
      </c>
      <c r="BH58" s="72">
        <f t="shared" si="24"/>
        <v>26818.639999999999</v>
      </c>
      <c r="BI58" s="73">
        <f t="shared" si="25"/>
        <v>1</v>
      </c>
      <c r="BJ58" s="74">
        <f t="shared" si="26"/>
        <v>2.3842283825549846E-3</v>
      </c>
      <c r="BK58" s="75">
        <f t="shared" si="27"/>
        <v>2.9632874325529184E-4</v>
      </c>
      <c r="BM58" s="76">
        <f t="shared" si="28"/>
        <v>1</v>
      </c>
    </row>
    <row r="59" spans="1:65" ht="12.75" customHeight="1" x14ac:dyDescent="0.2">
      <c r="A59" s="47"/>
      <c r="B59" s="48" t="s">
        <v>159</v>
      </c>
      <c r="C59" s="49">
        <v>30000</v>
      </c>
      <c r="D59" s="50">
        <v>13</v>
      </c>
      <c r="E59" s="49">
        <v>29809.63</v>
      </c>
      <c r="F59" s="50" t="s">
        <v>63</v>
      </c>
      <c r="G59" s="51">
        <v>39873</v>
      </c>
      <c r="H59" s="52" t="s">
        <v>56</v>
      </c>
      <c r="I59" s="51">
        <v>39873</v>
      </c>
      <c r="J59" s="52">
        <f t="shared" si="0"/>
        <v>0</v>
      </c>
      <c r="K59" s="53" t="s">
        <v>160</v>
      </c>
      <c r="L59" s="53">
        <v>30369.350000000002</v>
      </c>
      <c r="M59" s="54">
        <v>0</v>
      </c>
      <c r="N59" s="54">
        <v>0</v>
      </c>
      <c r="O59" s="54">
        <v>0</v>
      </c>
      <c r="P59" s="54">
        <v>0</v>
      </c>
      <c r="Q59" s="54">
        <f t="shared" si="2"/>
        <v>0</v>
      </c>
      <c r="R59" s="55">
        <f t="shared" si="3"/>
        <v>0</v>
      </c>
      <c r="S59" s="55">
        <f t="shared" si="4"/>
        <v>1</v>
      </c>
      <c r="T59" s="56"/>
      <c r="V59" s="57"/>
      <c r="W59" s="58"/>
      <c r="X59" s="58"/>
      <c r="Y59" s="58"/>
      <c r="Z59" s="58"/>
      <c r="AA59" s="58"/>
      <c r="AB59" s="58">
        <f t="shared" si="5"/>
        <v>0</v>
      </c>
      <c r="AC59" s="58"/>
      <c r="AD59" s="59"/>
      <c r="AE59" s="60"/>
      <c r="AF59" s="61"/>
      <c r="AG59" s="59"/>
      <c r="AH59" s="60"/>
      <c r="AI59" s="62"/>
      <c r="AJ59" s="62">
        <f t="shared" si="6"/>
        <v>0</v>
      </c>
      <c r="AK59" s="63"/>
      <c r="AL59" s="64">
        <f t="shared" si="7"/>
        <v>0</v>
      </c>
      <c r="AP59" s="65">
        <f t="shared" si="8"/>
        <v>0</v>
      </c>
      <c r="AQ59" s="16">
        <f t="shared" si="9"/>
        <v>1</v>
      </c>
      <c r="AR59" s="16">
        <f t="shared" si="10"/>
        <v>0</v>
      </c>
      <c r="AS59" s="66">
        <f t="shared" si="11"/>
        <v>0</v>
      </c>
      <c r="AT59" s="67">
        <f t="shared" si="12"/>
        <v>0</v>
      </c>
      <c r="AU59" s="68">
        <f t="shared" si="13"/>
        <v>0</v>
      </c>
      <c r="AV59" s="19">
        <f t="shared" si="14"/>
        <v>0</v>
      </c>
      <c r="AW59" s="69">
        <f t="shared" si="15"/>
        <v>0</v>
      </c>
      <c r="AY59" s="65">
        <f t="shared" si="16"/>
        <v>1</v>
      </c>
      <c r="AZ59" s="16">
        <f t="shared" si="17"/>
        <v>1</v>
      </c>
      <c r="BA59" s="16">
        <f t="shared" si="18"/>
        <v>1</v>
      </c>
      <c r="BB59" s="70">
        <f t="shared" si="19"/>
        <v>0</v>
      </c>
      <c r="BC59" s="67">
        <f t="shared" si="20"/>
        <v>29809.63</v>
      </c>
      <c r="BD59" s="71">
        <f t="shared" si="21"/>
        <v>0</v>
      </c>
      <c r="BE59" s="19">
        <f t="shared" si="22"/>
        <v>6.7721500860395203E-3</v>
      </c>
      <c r="BF59" s="69">
        <f t="shared" si="23"/>
        <v>0</v>
      </c>
      <c r="BH59" s="72">
        <f t="shared" si="24"/>
        <v>29809.63</v>
      </c>
      <c r="BI59" s="73">
        <f t="shared" si="25"/>
        <v>1</v>
      </c>
      <c r="BJ59" s="74">
        <f t="shared" si="26"/>
        <v>2.6501331133667685E-3</v>
      </c>
      <c r="BK59" s="75">
        <f t="shared" si="27"/>
        <v>0</v>
      </c>
      <c r="BM59" s="76">
        <f t="shared" si="28"/>
        <v>1</v>
      </c>
    </row>
    <row r="60" spans="1:65" ht="12.75" customHeight="1" x14ac:dyDescent="0.2">
      <c r="A60" s="47"/>
      <c r="B60" s="48" t="s">
        <v>161</v>
      </c>
      <c r="C60" s="49">
        <v>19750.5</v>
      </c>
      <c r="D60" s="50">
        <v>8</v>
      </c>
      <c r="E60" s="49">
        <v>19264.599999999999</v>
      </c>
      <c r="F60" s="50" t="s">
        <v>63</v>
      </c>
      <c r="G60" s="51">
        <v>39873</v>
      </c>
      <c r="H60" s="52" t="s">
        <v>56</v>
      </c>
      <c r="I60" s="51">
        <v>39965</v>
      </c>
      <c r="J60" s="52">
        <f t="shared" si="0"/>
        <v>3.0666666666666669</v>
      </c>
      <c r="K60" s="53" t="s">
        <v>162</v>
      </c>
      <c r="L60" s="53">
        <v>21264.6</v>
      </c>
      <c r="M60" s="54">
        <v>167.55</v>
      </c>
      <c r="N60" s="54">
        <v>0</v>
      </c>
      <c r="O60" s="54">
        <v>551.70000000000005</v>
      </c>
      <c r="P60" s="54">
        <f t="shared" ref="P60:P64" si="31">IF(L60="N/A",0,IF(L60-E60&gt;0,0,E60-L60))</f>
        <v>0</v>
      </c>
      <c r="Q60" s="54">
        <f t="shared" si="2"/>
        <v>0</v>
      </c>
      <c r="R60" s="55">
        <f t="shared" si="3"/>
        <v>0</v>
      </c>
      <c r="S60" s="55">
        <f t="shared" si="4"/>
        <v>1</v>
      </c>
      <c r="T60" s="56"/>
      <c r="V60" s="57"/>
      <c r="W60" s="58"/>
      <c r="X60" s="58"/>
      <c r="Y60" s="58"/>
      <c r="Z60" s="58"/>
      <c r="AA60" s="58"/>
      <c r="AB60" s="58">
        <f t="shared" si="5"/>
        <v>0</v>
      </c>
      <c r="AC60" s="58"/>
      <c r="AD60" s="59"/>
      <c r="AE60" s="60"/>
      <c r="AF60" s="61"/>
      <c r="AG60" s="59"/>
      <c r="AH60" s="60"/>
      <c r="AI60" s="62"/>
      <c r="AJ60" s="62">
        <f t="shared" si="6"/>
        <v>0</v>
      </c>
      <c r="AK60" s="63"/>
      <c r="AL60" s="64">
        <f t="shared" si="7"/>
        <v>0</v>
      </c>
      <c r="AP60" s="65">
        <f t="shared" si="8"/>
        <v>0</v>
      </c>
      <c r="AQ60" s="16">
        <f t="shared" si="9"/>
        <v>1</v>
      </c>
      <c r="AR60" s="16">
        <f t="shared" si="10"/>
        <v>0</v>
      </c>
      <c r="AS60" s="66">
        <f t="shared" si="11"/>
        <v>0</v>
      </c>
      <c r="AT60" s="67">
        <f t="shared" si="12"/>
        <v>0</v>
      </c>
      <c r="AU60" s="68">
        <f t="shared" si="13"/>
        <v>0</v>
      </c>
      <c r="AV60" s="19">
        <f t="shared" si="14"/>
        <v>0</v>
      </c>
      <c r="AW60" s="69">
        <f t="shared" si="15"/>
        <v>0</v>
      </c>
      <c r="AY60" s="65">
        <f t="shared" si="16"/>
        <v>1</v>
      </c>
      <c r="AZ60" s="16">
        <f t="shared" si="17"/>
        <v>1</v>
      </c>
      <c r="BA60" s="16">
        <f t="shared" si="18"/>
        <v>1</v>
      </c>
      <c r="BB60" s="70">
        <f t="shared" si="19"/>
        <v>551.70000000000005</v>
      </c>
      <c r="BC60" s="67">
        <f t="shared" si="20"/>
        <v>19264.599999999999</v>
      </c>
      <c r="BD60" s="71">
        <f t="shared" si="21"/>
        <v>3.0666666666666669</v>
      </c>
      <c r="BE60" s="19">
        <f t="shared" si="22"/>
        <v>4.3765307569237502E-3</v>
      </c>
      <c r="BF60" s="69">
        <f t="shared" si="23"/>
        <v>0</v>
      </c>
      <c r="BH60" s="72">
        <f t="shared" si="24"/>
        <v>19264.599999999999</v>
      </c>
      <c r="BI60" s="73">
        <f t="shared" si="25"/>
        <v>1</v>
      </c>
      <c r="BJ60" s="74">
        <f t="shared" si="26"/>
        <v>1.712659780606651E-3</v>
      </c>
      <c r="BK60" s="75">
        <f t="shared" si="27"/>
        <v>0</v>
      </c>
      <c r="BM60" s="76">
        <f t="shared" si="28"/>
        <v>1</v>
      </c>
    </row>
    <row r="61" spans="1:65" ht="12.75" customHeight="1" x14ac:dyDescent="0.2">
      <c r="A61" s="47"/>
      <c r="B61" s="48" t="s">
        <v>163</v>
      </c>
      <c r="C61" s="49">
        <v>22320</v>
      </c>
      <c r="D61" s="50">
        <v>13</v>
      </c>
      <c r="E61" s="49">
        <f>21034.1+1113.93</f>
        <v>22148.03</v>
      </c>
      <c r="F61" s="50" t="s">
        <v>55</v>
      </c>
      <c r="G61" s="51">
        <v>39873</v>
      </c>
      <c r="H61" s="52" t="s">
        <v>56</v>
      </c>
      <c r="I61" s="51">
        <v>39995</v>
      </c>
      <c r="J61" s="52">
        <f t="shared" si="0"/>
        <v>4.0666666666666664</v>
      </c>
      <c r="K61" s="53" t="s">
        <v>164</v>
      </c>
      <c r="L61" s="53">
        <v>24987.38</v>
      </c>
      <c r="M61" s="54">
        <v>128.72</v>
      </c>
      <c r="N61" s="54">
        <v>0</v>
      </c>
      <c r="O61" s="54">
        <v>0</v>
      </c>
      <c r="P61" s="54">
        <f t="shared" si="31"/>
        <v>0</v>
      </c>
      <c r="Q61" s="54">
        <f t="shared" si="2"/>
        <v>0</v>
      </c>
      <c r="R61" s="55">
        <f t="shared" si="3"/>
        <v>0</v>
      </c>
      <c r="S61" s="55">
        <f t="shared" si="4"/>
        <v>1</v>
      </c>
      <c r="T61" s="56"/>
      <c r="V61" s="57"/>
      <c r="W61" s="58"/>
      <c r="X61" s="58"/>
      <c r="Y61" s="58"/>
      <c r="Z61" s="58"/>
      <c r="AA61" s="58"/>
      <c r="AB61" s="58">
        <f t="shared" si="5"/>
        <v>0</v>
      </c>
      <c r="AC61" s="58"/>
      <c r="AD61" s="59"/>
      <c r="AE61" s="60"/>
      <c r="AF61" s="61"/>
      <c r="AG61" s="59"/>
      <c r="AH61" s="60"/>
      <c r="AI61" s="62"/>
      <c r="AJ61" s="62">
        <f t="shared" si="6"/>
        <v>0</v>
      </c>
      <c r="AK61" s="63"/>
      <c r="AL61" s="64">
        <f t="shared" si="7"/>
        <v>0</v>
      </c>
      <c r="AP61" s="65">
        <f t="shared" si="8"/>
        <v>1</v>
      </c>
      <c r="AQ61" s="16">
        <f t="shared" si="9"/>
        <v>1</v>
      </c>
      <c r="AR61" s="16">
        <f t="shared" si="10"/>
        <v>1</v>
      </c>
      <c r="AS61" s="66">
        <f t="shared" si="11"/>
        <v>0</v>
      </c>
      <c r="AT61" s="67">
        <f t="shared" si="12"/>
        <v>22148.03</v>
      </c>
      <c r="AU61" s="68">
        <f t="shared" si="13"/>
        <v>4.0666666666666664</v>
      </c>
      <c r="AV61" s="19">
        <f t="shared" si="14"/>
        <v>3.2349159777064216E-3</v>
      </c>
      <c r="AW61" s="69">
        <f t="shared" si="15"/>
        <v>0</v>
      </c>
      <c r="AY61" s="65">
        <f t="shared" si="16"/>
        <v>0</v>
      </c>
      <c r="AZ61" s="16">
        <f t="shared" si="17"/>
        <v>1</v>
      </c>
      <c r="BA61" s="16">
        <f t="shared" si="18"/>
        <v>0</v>
      </c>
      <c r="BB61" s="70">
        <f t="shared" si="19"/>
        <v>0</v>
      </c>
      <c r="BC61" s="67">
        <f t="shared" si="20"/>
        <v>0</v>
      </c>
      <c r="BD61" s="71">
        <f t="shared" si="21"/>
        <v>0</v>
      </c>
      <c r="BE61" s="19">
        <f t="shared" si="22"/>
        <v>0</v>
      </c>
      <c r="BF61" s="69">
        <f t="shared" si="23"/>
        <v>0</v>
      </c>
      <c r="BH61" s="72">
        <f t="shared" si="24"/>
        <v>22148.03</v>
      </c>
      <c r="BI61" s="73">
        <f t="shared" si="25"/>
        <v>1</v>
      </c>
      <c r="BJ61" s="74">
        <f t="shared" si="26"/>
        <v>1.9690022217263544E-3</v>
      </c>
      <c r="BK61" s="75">
        <f t="shared" si="27"/>
        <v>0</v>
      </c>
      <c r="BM61" s="76">
        <f t="shared" si="28"/>
        <v>1</v>
      </c>
    </row>
    <row r="62" spans="1:65" ht="12.75" customHeight="1" x14ac:dyDescent="0.2">
      <c r="A62" s="47"/>
      <c r="B62" s="48" t="s">
        <v>165</v>
      </c>
      <c r="C62" s="49">
        <v>24997.5</v>
      </c>
      <c r="D62" s="50">
        <v>11</v>
      </c>
      <c r="E62" s="49">
        <v>23862.12</v>
      </c>
      <c r="F62" s="50" t="s">
        <v>55</v>
      </c>
      <c r="G62" s="51">
        <v>39873</v>
      </c>
      <c r="H62" s="52" t="s">
        <v>56</v>
      </c>
      <c r="I62" s="51">
        <v>40029</v>
      </c>
      <c r="J62" s="52">
        <f t="shared" si="0"/>
        <v>5.2</v>
      </c>
      <c r="K62" s="53" t="s">
        <v>166</v>
      </c>
      <c r="L62" s="53">
        <v>24862.12</v>
      </c>
      <c r="M62" s="54">
        <v>725.9</v>
      </c>
      <c r="N62" s="54">
        <v>1036.01</v>
      </c>
      <c r="O62" s="54">
        <v>468.77</v>
      </c>
      <c r="P62" s="54">
        <f t="shared" si="31"/>
        <v>0</v>
      </c>
      <c r="Q62" s="54">
        <f t="shared" si="2"/>
        <v>1230.6799999999998</v>
      </c>
      <c r="R62" s="55">
        <f t="shared" si="3"/>
        <v>5.1574629580271994E-2</v>
      </c>
      <c r="S62" s="55">
        <f t="shared" si="4"/>
        <v>0.94842537041972796</v>
      </c>
      <c r="T62" s="56"/>
      <c r="V62" s="57"/>
      <c r="W62" s="58"/>
      <c r="X62" s="58"/>
      <c r="Y62" s="58"/>
      <c r="Z62" s="58"/>
      <c r="AA62" s="58"/>
      <c r="AB62" s="58">
        <f t="shared" si="5"/>
        <v>0</v>
      </c>
      <c r="AC62" s="58"/>
      <c r="AD62" s="59"/>
      <c r="AE62" s="60"/>
      <c r="AF62" s="61"/>
      <c r="AG62" s="59"/>
      <c r="AH62" s="60"/>
      <c r="AI62" s="62"/>
      <c r="AJ62" s="62">
        <f t="shared" si="6"/>
        <v>0</v>
      </c>
      <c r="AK62" s="63"/>
      <c r="AL62" s="64">
        <f t="shared" si="7"/>
        <v>0</v>
      </c>
      <c r="AP62" s="65">
        <f t="shared" si="8"/>
        <v>1</v>
      </c>
      <c r="AQ62" s="16">
        <f t="shared" si="9"/>
        <v>1</v>
      </c>
      <c r="AR62" s="16">
        <f t="shared" si="10"/>
        <v>1</v>
      </c>
      <c r="AS62" s="66">
        <f t="shared" si="11"/>
        <v>1504.78</v>
      </c>
      <c r="AT62" s="67">
        <f t="shared" si="12"/>
        <v>23862.12</v>
      </c>
      <c r="AU62" s="68">
        <f t="shared" si="13"/>
        <v>5.2</v>
      </c>
      <c r="AV62" s="19">
        <f t="shared" si="14"/>
        <v>3.4852740063088207E-3</v>
      </c>
      <c r="AW62" s="69">
        <f t="shared" si="15"/>
        <v>1.7975171586112799E-4</v>
      </c>
      <c r="AY62" s="65">
        <f t="shared" si="16"/>
        <v>0</v>
      </c>
      <c r="AZ62" s="16">
        <f t="shared" si="17"/>
        <v>1</v>
      </c>
      <c r="BA62" s="16">
        <f t="shared" si="18"/>
        <v>0</v>
      </c>
      <c r="BB62" s="70">
        <f t="shared" si="19"/>
        <v>0</v>
      </c>
      <c r="BC62" s="67">
        <f t="shared" si="20"/>
        <v>0</v>
      </c>
      <c r="BD62" s="71">
        <f t="shared" si="21"/>
        <v>0</v>
      </c>
      <c r="BE62" s="19">
        <f t="shared" si="22"/>
        <v>0</v>
      </c>
      <c r="BF62" s="69">
        <f t="shared" si="23"/>
        <v>0</v>
      </c>
      <c r="BH62" s="72">
        <f t="shared" si="24"/>
        <v>23862.12</v>
      </c>
      <c r="BI62" s="73">
        <f t="shared" si="25"/>
        <v>1</v>
      </c>
      <c r="BJ62" s="74">
        <f t="shared" si="26"/>
        <v>2.121388100661814E-3</v>
      </c>
      <c r="BK62" s="75">
        <f t="shared" si="27"/>
        <v>1.0940980548762981E-4</v>
      </c>
      <c r="BM62" s="76">
        <f t="shared" si="28"/>
        <v>1</v>
      </c>
    </row>
    <row r="63" spans="1:65" ht="12.75" customHeight="1" x14ac:dyDescent="0.2">
      <c r="A63" s="47"/>
      <c r="B63" s="48" t="s">
        <v>167</v>
      </c>
      <c r="C63" s="49">
        <v>19350</v>
      </c>
      <c r="D63" s="50">
        <v>7</v>
      </c>
      <c r="E63" s="49">
        <f>17835.59+1996.23</f>
        <v>19831.82</v>
      </c>
      <c r="F63" s="50" t="s">
        <v>63</v>
      </c>
      <c r="G63" s="51">
        <v>39873</v>
      </c>
      <c r="H63" s="52" t="s">
        <v>56</v>
      </c>
      <c r="I63" s="51">
        <v>40056</v>
      </c>
      <c r="J63" s="52">
        <f t="shared" si="0"/>
        <v>6.1</v>
      </c>
      <c r="K63" s="53" t="s">
        <v>168</v>
      </c>
      <c r="L63" s="53">
        <v>22924.85</v>
      </c>
      <c r="M63" s="54">
        <v>263.62</v>
      </c>
      <c r="N63" s="54">
        <v>0</v>
      </c>
      <c r="O63" s="54">
        <v>0</v>
      </c>
      <c r="P63" s="54">
        <f t="shared" si="31"/>
        <v>0</v>
      </c>
      <c r="Q63" s="54">
        <f t="shared" si="2"/>
        <v>0</v>
      </c>
      <c r="R63" s="55">
        <f t="shared" si="3"/>
        <v>0</v>
      </c>
      <c r="S63" s="55">
        <f t="shared" si="4"/>
        <v>1</v>
      </c>
      <c r="T63" s="56"/>
      <c r="V63" s="57"/>
      <c r="W63" s="58"/>
      <c r="X63" s="58"/>
      <c r="Y63" s="58"/>
      <c r="Z63" s="58"/>
      <c r="AA63" s="58"/>
      <c r="AB63" s="58">
        <f t="shared" si="5"/>
        <v>0</v>
      </c>
      <c r="AC63" s="58"/>
      <c r="AD63" s="59"/>
      <c r="AE63" s="60"/>
      <c r="AF63" s="61"/>
      <c r="AG63" s="59"/>
      <c r="AH63" s="60"/>
      <c r="AI63" s="62"/>
      <c r="AJ63" s="62">
        <f t="shared" si="6"/>
        <v>0</v>
      </c>
      <c r="AK63" s="63"/>
      <c r="AL63" s="64">
        <f t="shared" si="7"/>
        <v>0</v>
      </c>
      <c r="AP63" s="65">
        <f t="shared" si="8"/>
        <v>0</v>
      </c>
      <c r="AQ63" s="16">
        <f t="shared" si="9"/>
        <v>1</v>
      </c>
      <c r="AR63" s="16">
        <f t="shared" si="10"/>
        <v>0</v>
      </c>
      <c r="AS63" s="66">
        <f t="shared" si="11"/>
        <v>0</v>
      </c>
      <c r="AT63" s="67">
        <f t="shared" si="12"/>
        <v>0</v>
      </c>
      <c r="AU63" s="68">
        <f t="shared" si="13"/>
        <v>0</v>
      </c>
      <c r="AV63" s="19">
        <f t="shared" si="14"/>
        <v>0</v>
      </c>
      <c r="AW63" s="69">
        <f t="shared" si="15"/>
        <v>0</v>
      </c>
      <c r="AY63" s="65">
        <f t="shared" si="16"/>
        <v>1</v>
      </c>
      <c r="AZ63" s="16">
        <f t="shared" si="17"/>
        <v>1</v>
      </c>
      <c r="BA63" s="16">
        <f t="shared" si="18"/>
        <v>1</v>
      </c>
      <c r="BB63" s="70">
        <f t="shared" si="19"/>
        <v>0</v>
      </c>
      <c r="BC63" s="67">
        <f t="shared" si="20"/>
        <v>19831.82</v>
      </c>
      <c r="BD63" s="71">
        <f t="shared" si="21"/>
        <v>6.1</v>
      </c>
      <c r="BE63" s="19">
        <f t="shared" si="22"/>
        <v>4.5053917649873635E-3</v>
      </c>
      <c r="BF63" s="69">
        <f t="shared" si="23"/>
        <v>0</v>
      </c>
      <c r="BH63" s="72">
        <f t="shared" si="24"/>
        <v>19831.82</v>
      </c>
      <c r="BI63" s="73">
        <f t="shared" si="25"/>
        <v>1</v>
      </c>
      <c r="BJ63" s="74">
        <f t="shared" si="26"/>
        <v>1.7630867233283118E-3</v>
      </c>
      <c r="BK63" s="75">
        <f t="shared" si="27"/>
        <v>0</v>
      </c>
      <c r="BM63" s="76">
        <f t="shared" si="28"/>
        <v>1</v>
      </c>
    </row>
    <row r="64" spans="1:65" ht="12.75" customHeight="1" x14ac:dyDescent="0.2">
      <c r="A64" s="47"/>
      <c r="B64" s="48" t="s">
        <v>169</v>
      </c>
      <c r="C64" s="49">
        <v>17772.64</v>
      </c>
      <c r="D64" s="50">
        <v>7</v>
      </c>
      <c r="E64" s="49">
        <v>15942.73</v>
      </c>
      <c r="F64" s="50" t="s">
        <v>55</v>
      </c>
      <c r="G64" s="51">
        <v>39873</v>
      </c>
      <c r="H64" s="52" t="s">
        <v>56</v>
      </c>
      <c r="I64" s="51">
        <v>40156</v>
      </c>
      <c r="J64" s="52">
        <f t="shared" si="0"/>
        <v>9.4333333333333336</v>
      </c>
      <c r="K64" s="53" t="s">
        <v>170</v>
      </c>
      <c r="L64" s="53">
        <v>19492.73</v>
      </c>
      <c r="M64" s="54">
        <v>202.73</v>
      </c>
      <c r="N64" s="54">
        <v>2673</v>
      </c>
      <c r="O64" s="54">
        <v>2010.93</v>
      </c>
      <c r="P64" s="54">
        <f t="shared" si="31"/>
        <v>0</v>
      </c>
      <c r="Q64" s="54">
        <f t="shared" si="2"/>
        <v>1336.66</v>
      </c>
      <c r="R64" s="55">
        <f t="shared" si="3"/>
        <v>8.384134963083488E-2</v>
      </c>
      <c r="S64" s="55">
        <f t="shared" si="4"/>
        <v>0.91615865036916511</v>
      </c>
      <c r="T64" s="56"/>
      <c r="V64" s="57"/>
      <c r="W64" s="58"/>
      <c r="X64" s="58"/>
      <c r="Y64" s="58"/>
      <c r="Z64" s="58"/>
      <c r="AA64" s="58"/>
      <c r="AB64" s="58">
        <f t="shared" si="5"/>
        <v>0</v>
      </c>
      <c r="AC64" s="58"/>
      <c r="AD64" s="59"/>
      <c r="AE64" s="60"/>
      <c r="AF64" s="61"/>
      <c r="AG64" s="59"/>
      <c r="AH64" s="60"/>
      <c r="AI64" s="62"/>
      <c r="AJ64" s="62">
        <f t="shared" si="6"/>
        <v>0</v>
      </c>
      <c r="AK64" s="63"/>
      <c r="AL64" s="64">
        <f t="shared" si="7"/>
        <v>0</v>
      </c>
      <c r="AP64" s="65">
        <f t="shared" si="8"/>
        <v>1</v>
      </c>
      <c r="AQ64" s="16">
        <f t="shared" si="9"/>
        <v>1</v>
      </c>
      <c r="AR64" s="16">
        <f t="shared" si="10"/>
        <v>1</v>
      </c>
      <c r="AS64" s="66">
        <f t="shared" si="11"/>
        <v>4683.93</v>
      </c>
      <c r="AT64" s="67">
        <f t="shared" si="12"/>
        <v>15942.73</v>
      </c>
      <c r="AU64" s="68">
        <f t="shared" si="13"/>
        <v>9.4333333333333336</v>
      </c>
      <c r="AV64" s="19">
        <f t="shared" si="14"/>
        <v>2.3285769436495931E-3</v>
      </c>
      <c r="AW64" s="69">
        <f t="shared" si="15"/>
        <v>1.9523103367482644E-4</v>
      </c>
      <c r="AY64" s="65">
        <f t="shared" si="16"/>
        <v>0</v>
      </c>
      <c r="AZ64" s="16">
        <f t="shared" si="17"/>
        <v>1</v>
      </c>
      <c r="BA64" s="16">
        <f t="shared" si="18"/>
        <v>0</v>
      </c>
      <c r="BB64" s="70">
        <f t="shared" si="19"/>
        <v>0</v>
      </c>
      <c r="BC64" s="67">
        <f t="shared" si="20"/>
        <v>0</v>
      </c>
      <c r="BD64" s="71">
        <f t="shared" si="21"/>
        <v>0</v>
      </c>
      <c r="BE64" s="19">
        <f t="shared" si="22"/>
        <v>0</v>
      </c>
      <c r="BF64" s="69">
        <f t="shared" si="23"/>
        <v>0</v>
      </c>
      <c r="BH64" s="72">
        <f t="shared" si="24"/>
        <v>15942.73</v>
      </c>
      <c r="BI64" s="73">
        <f t="shared" si="25"/>
        <v>1</v>
      </c>
      <c r="BJ64" s="74">
        <f t="shared" si="26"/>
        <v>1.4173391850373781E-3</v>
      </c>
      <c r="BK64" s="75">
        <f t="shared" si="27"/>
        <v>1.1883163015820139E-4</v>
      </c>
      <c r="BM64" s="76">
        <f t="shared" si="28"/>
        <v>1</v>
      </c>
    </row>
    <row r="65" spans="1:65" ht="12.75" customHeight="1" x14ac:dyDescent="0.2">
      <c r="A65" s="47"/>
      <c r="B65" s="48" t="s">
        <v>171</v>
      </c>
      <c r="C65" s="49">
        <v>20343.509999999998</v>
      </c>
      <c r="D65" s="50">
        <v>10</v>
      </c>
      <c r="E65" s="49">
        <v>19445.25</v>
      </c>
      <c r="F65" s="50" t="s">
        <v>55</v>
      </c>
      <c r="G65" s="51">
        <v>39924</v>
      </c>
      <c r="H65" s="52" t="s">
        <v>56</v>
      </c>
      <c r="I65" s="51">
        <v>40026</v>
      </c>
      <c r="J65" s="52">
        <f t="shared" si="0"/>
        <v>3.4</v>
      </c>
      <c r="K65" s="53" t="s">
        <v>172</v>
      </c>
      <c r="L65" s="53">
        <v>22149.65</v>
      </c>
      <c r="M65" s="54">
        <v>1689.25</v>
      </c>
      <c r="N65" s="54">
        <v>3786.45</v>
      </c>
      <c r="O65" s="54">
        <v>0</v>
      </c>
      <c r="P65" s="54">
        <v>0</v>
      </c>
      <c r="Q65" s="54">
        <f t="shared" si="2"/>
        <v>2771.2999999999984</v>
      </c>
      <c r="R65" s="55">
        <f t="shared" si="3"/>
        <v>0.14251809567889323</v>
      </c>
      <c r="S65" s="55">
        <f t="shared" si="4"/>
        <v>0.85748190432110682</v>
      </c>
      <c r="T65" s="56"/>
      <c r="V65" s="57"/>
      <c r="W65" s="58"/>
      <c r="X65" s="58"/>
      <c r="Y65" s="58"/>
      <c r="Z65" s="58"/>
      <c r="AA65" s="58"/>
      <c r="AB65" s="58">
        <f t="shared" si="5"/>
        <v>0</v>
      </c>
      <c r="AC65" s="58"/>
      <c r="AD65" s="59"/>
      <c r="AE65" s="60"/>
      <c r="AF65" s="61"/>
      <c r="AG65" s="59"/>
      <c r="AH65" s="60"/>
      <c r="AI65" s="62"/>
      <c r="AJ65" s="62">
        <f t="shared" si="6"/>
        <v>0</v>
      </c>
      <c r="AK65" s="63"/>
      <c r="AL65" s="64">
        <f t="shared" si="7"/>
        <v>0</v>
      </c>
      <c r="AP65" s="65">
        <f t="shared" si="8"/>
        <v>1</v>
      </c>
      <c r="AQ65" s="16">
        <f t="shared" si="9"/>
        <v>1</v>
      </c>
      <c r="AR65" s="16">
        <f t="shared" si="10"/>
        <v>1</v>
      </c>
      <c r="AS65" s="66">
        <f t="shared" si="11"/>
        <v>3786.45</v>
      </c>
      <c r="AT65" s="67">
        <f t="shared" si="12"/>
        <v>19445.25</v>
      </c>
      <c r="AU65" s="68">
        <f t="shared" si="13"/>
        <v>3.4</v>
      </c>
      <c r="AV65" s="19">
        <f t="shared" si="14"/>
        <v>2.8401510163881751E-3</v>
      </c>
      <c r="AW65" s="69">
        <f t="shared" si="15"/>
        <v>4.0477291429611578E-4</v>
      </c>
      <c r="AY65" s="65">
        <f t="shared" si="16"/>
        <v>0</v>
      </c>
      <c r="AZ65" s="16">
        <f t="shared" si="17"/>
        <v>1</v>
      </c>
      <c r="BA65" s="16">
        <f t="shared" si="18"/>
        <v>0</v>
      </c>
      <c r="BB65" s="70">
        <f t="shared" si="19"/>
        <v>0</v>
      </c>
      <c r="BC65" s="67">
        <f t="shared" si="20"/>
        <v>0</v>
      </c>
      <c r="BD65" s="71">
        <f t="shared" si="21"/>
        <v>0</v>
      </c>
      <c r="BE65" s="19">
        <f t="shared" si="22"/>
        <v>0</v>
      </c>
      <c r="BF65" s="69">
        <f t="shared" si="23"/>
        <v>0</v>
      </c>
      <c r="BH65" s="72">
        <f t="shared" si="24"/>
        <v>19445.25</v>
      </c>
      <c r="BI65" s="73">
        <f t="shared" si="25"/>
        <v>1</v>
      </c>
      <c r="BJ65" s="74">
        <f t="shared" si="26"/>
        <v>1.7287199110721989E-3</v>
      </c>
      <c r="BK65" s="75">
        <f t="shared" si="27"/>
        <v>2.4637386968819546E-4</v>
      </c>
      <c r="BM65" s="76">
        <f t="shared" si="28"/>
        <v>1</v>
      </c>
    </row>
    <row r="66" spans="1:65" ht="12.75" customHeight="1" x14ac:dyDescent="0.2">
      <c r="A66" s="47"/>
      <c r="B66" s="48" t="s">
        <v>173</v>
      </c>
      <c r="C66" s="49">
        <v>27502.5</v>
      </c>
      <c r="D66" s="50">
        <v>13</v>
      </c>
      <c r="E66" s="49">
        <v>25123.56</v>
      </c>
      <c r="F66" s="50" t="s">
        <v>55</v>
      </c>
      <c r="G66" s="51">
        <v>39925</v>
      </c>
      <c r="H66" s="52" t="s">
        <v>56</v>
      </c>
      <c r="I66" s="51">
        <v>39995</v>
      </c>
      <c r="J66" s="52">
        <f t="shared" si="0"/>
        <v>2.3333333333333335</v>
      </c>
      <c r="K66" s="53" t="s">
        <v>174</v>
      </c>
      <c r="L66" s="53">
        <v>27512.46</v>
      </c>
      <c r="M66" s="54">
        <v>123.46</v>
      </c>
      <c r="N66" s="54">
        <v>6917.82</v>
      </c>
      <c r="O66" s="54">
        <v>0</v>
      </c>
      <c r="P66" s="54">
        <f t="shared" ref="P66:P72" si="32">IF(L66="N/A",0,IF(L66-E66&gt;0,0,E66-L66))</f>
        <v>0</v>
      </c>
      <c r="Q66" s="54">
        <f t="shared" si="2"/>
        <v>4652.3800000000019</v>
      </c>
      <c r="R66" s="55">
        <f t="shared" si="3"/>
        <v>0.18517996653340538</v>
      </c>
      <c r="S66" s="55">
        <f t="shared" si="4"/>
        <v>0.8148200334665946</v>
      </c>
      <c r="T66" s="56"/>
      <c r="V66" s="57"/>
      <c r="W66" s="58"/>
      <c r="X66" s="58"/>
      <c r="Y66" s="58"/>
      <c r="Z66" s="58"/>
      <c r="AA66" s="58"/>
      <c r="AB66" s="58">
        <f t="shared" si="5"/>
        <v>0</v>
      </c>
      <c r="AC66" s="58"/>
      <c r="AD66" s="59"/>
      <c r="AE66" s="60"/>
      <c r="AF66" s="61"/>
      <c r="AG66" s="59"/>
      <c r="AH66" s="60"/>
      <c r="AI66" s="62"/>
      <c r="AJ66" s="62">
        <f t="shared" si="6"/>
        <v>0</v>
      </c>
      <c r="AK66" s="63"/>
      <c r="AL66" s="64">
        <f t="shared" si="7"/>
        <v>0</v>
      </c>
      <c r="AP66" s="65">
        <f t="shared" si="8"/>
        <v>1</v>
      </c>
      <c r="AQ66" s="16">
        <f t="shared" si="9"/>
        <v>1</v>
      </c>
      <c r="AR66" s="16">
        <f t="shared" si="10"/>
        <v>1</v>
      </c>
      <c r="AS66" s="66">
        <f t="shared" si="11"/>
        <v>6917.82</v>
      </c>
      <c r="AT66" s="67">
        <f t="shared" si="12"/>
        <v>25123.56</v>
      </c>
      <c r="AU66" s="68">
        <f t="shared" si="13"/>
        <v>2.3333333333333335</v>
      </c>
      <c r="AV66" s="19">
        <f t="shared" si="14"/>
        <v>3.6695184926544685E-3</v>
      </c>
      <c r="AW66" s="69">
        <f t="shared" si="15"/>
        <v>6.7952131166346662E-4</v>
      </c>
      <c r="AY66" s="65">
        <f t="shared" si="16"/>
        <v>0</v>
      </c>
      <c r="AZ66" s="16">
        <f t="shared" si="17"/>
        <v>1</v>
      </c>
      <c r="BA66" s="16">
        <f t="shared" si="18"/>
        <v>0</v>
      </c>
      <c r="BB66" s="70">
        <f t="shared" si="19"/>
        <v>0</v>
      </c>
      <c r="BC66" s="67">
        <f t="shared" si="20"/>
        <v>0</v>
      </c>
      <c r="BD66" s="71">
        <f t="shared" si="21"/>
        <v>0</v>
      </c>
      <c r="BE66" s="19">
        <f t="shared" si="22"/>
        <v>0</v>
      </c>
      <c r="BF66" s="69">
        <f t="shared" si="23"/>
        <v>0</v>
      </c>
      <c r="BH66" s="72">
        <f t="shared" si="24"/>
        <v>25123.56</v>
      </c>
      <c r="BI66" s="73">
        <f t="shared" si="25"/>
        <v>1</v>
      </c>
      <c r="BJ66" s="74">
        <f t="shared" si="26"/>
        <v>2.2335325289732483E-3</v>
      </c>
      <c r="BK66" s="75">
        <f t="shared" si="27"/>
        <v>4.1360547896653841E-4</v>
      </c>
      <c r="BM66" s="76">
        <f t="shared" si="28"/>
        <v>1</v>
      </c>
    </row>
    <row r="67" spans="1:65" ht="12.75" customHeight="1" x14ac:dyDescent="0.2">
      <c r="A67" s="47"/>
      <c r="B67" s="48" t="s">
        <v>175</v>
      </c>
      <c r="C67" s="49">
        <v>19350</v>
      </c>
      <c r="D67" s="50">
        <v>7</v>
      </c>
      <c r="E67" s="49">
        <f>13829.18+5122.21</f>
        <v>18951.39</v>
      </c>
      <c r="F67" s="50" t="s">
        <v>63</v>
      </c>
      <c r="G67" s="51">
        <v>39965</v>
      </c>
      <c r="H67" s="52" t="s">
        <v>56</v>
      </c>
      <c r="I67" s="51">
        <v>40026</v>
      </c>
      <c r="J67" s="52">
        <f t="shared" si="0"/>
        <v>2.0333333333333332</v>
      </c>
      <c r="K67" s="53" t="s">
        <v>176</v>
      </c>
      <c r="L67" s="53">
        <v>19878.75</v>
      </c>
      <c r="M67" s="54">
        <v>382.33000000000004</v>
      </c>
      <c r="N67" s="54">
        <v>1608</v>
      </c>
      <c r="O67" s="54">
        <v>0</v>
      </c>
      <c r="P67" s="54">
        <f t="shared" si="32"/>
        <v>0</v>
      </c>
      <c r="Q67" s="54">
        <f t="shared" si="2"/>
        <v>1062.9699999999993</v>
      </c>
      <c r="R67" s="55">
        <f t="shared" si="3"/>
        <v>5.6089289492749578E-2</v>
      </c>
      <c r="S67" s="55">
        <f t="shared" si="4"/>
        <v>0.94391071050725039</v>
      </c>
      <c r="T67" s="56"/>
      <c r="V67" s="57"/>
      <c r="W67" s="58"/>
      <c r="X67" s="58"/>
      <c r="Y67" s="58"/>
      <c r="Z67" s="58"/>
      <c r="AA67" s="58"/>
      <c r="AB67" s="58">
        <f t="shared" si="5"/>
        <v>0</v>
      </c>
      <c r="AC67" s="58"/>
      <c r="AD67" s="59"/>
      <c r="AE67" s="60"/>
      <c r="AF67" s="61"/>
      <c r="AG67" s="59"/>
      <c r="AH67" s="60"/>
      <c r="AI67" s="62"/>
      <c r="AJ67" s="62">
        <f t="shared" si="6"/>
        <v>0</v>
      </c>
      <c r="AK67" s="63"/>
      <c r="AL67" s="64">
        <f t="shared" si="7"/>
        <v>0</v>
      </c>
      <c r="AP67" s="65">
        <f t="shared" si="8"/>
        <v>0</v>
      </c>
      <c r="AQ67" s="16">
        <f t="shared" si="9"/>
        <v>1</v>
      </c>
      <c r="AR67" s="16">
        <f t="shared" si="10"/>
        <v>0</v>
      </c>
      <c r="AS67" s="66">
        <f t="shared" si="11"/>
        <v>0</v>
      </c>
      <c r="AT67" s="67">
        <f t="shared" si="12"/>
        <v>0</v>
      </c>
      <c r="AU67" s="68">
        <f t="shared" si="13"/>
        <v>0</v>
      </c>
      <c r="AV67" s="19">
        <f t="shared" si="14"/>
        <v>0</v>
      </c>
      <c r="AW67" s="69">
        <f t="shared" si="15"/>
        <v>0</v>
      </c>
      <c r="AY67" s="65">
        <f t="shared" si="16"/>
        <v>1</v>
      </c>
      <c r="AZ67" s="16">
        <f t="shared" si="17"/>
        <v>1</v>
      </c>
      <c r="BA67" s="16">
        <f t="shared" si="18"/>
        <v>1</v>
      </c>
      <c r="BB67" s="70">
        <f t="shared" si="19"/>
        <v>1608</v>
      </c>
      <c r="BC67" s="67">
        <f t="shared" si="20"/>
        <v>18951.39</v>
      </c>
      <c r="BD67" s="71">
        <f t="shared" si="21"/>
        <v>2.0333333333333332</v>
      </c>
      <c r="BE67" s="19">
        <f t="shared" si="22"/>
        <v>4.3053757265376488E-3</v>
      </c>
      <c r="BF67" s="69">
        <f t="shared" si="23"/>
        <v>2.4148546550082723E-4</v>
      </c>
      <c r="BH67" s="72">
        <f t="shared" si="24"/>
        <v>18951.39</v>
      </c>
      <c r="BI67" s="73">
        <f t="shared" si="25"/>
        <v>1</v>
      </c>
      <c r="BJ67" s="74">
        <f t="shared" si="26"/>
        <v>1.6848148126403393E-3</v>
      </c>
      <c r="BK67" s="75">
        <f t="shared" si="27"/>
        <v>9.4500065767856635E-5</v>
      </c>
      <c r="BM67" s="76">
        <f t="shared" si="28"/>
        <v>1</v>
      </c>
    </row>
    <row r="68" spans="1:65" ht="12.75" customHeight="1" x14ac:dyDescent="0.2">
      <c r="A68" s="47"/>
      <c r="B68" s="48" t="s">
        <v>177</v>
      </c>
      <c r="C68" s="49">
        <v>21565</v>
      </c>
      <c r="D68" s="50">
        <v>13</v>
      </c>
      <c r="E68" s="49">
        <f>18653.73+2130.89</f>
        <v>20784.62</v>
      </c>
      <c r="F68" s="50" t="s">
        <v>63</v>
      </c>
      <c r="G68" s="51">
        <v>39965</v>
      </c>
      <c r="H68" s="52" t="s">
        <v>56</v>
      </c>
      <c r="I68" s="51">
        <v>40118</v>
      </c>
      <c r="J68" s="52">
        <f t="shared" si="0"/>
        <v>5.0999999999999996</v>
      </c>
      <c r="K68" s="53" t="s">
        <v>178</v>
      </c>
      <c r="L68" s="53">
        <v>23500</v>
      </c>
      <c r="M68" s="54">
        <v>529.72</v>
      </c>
      <c r="N68" s="54">
        <v>1698.47</v>
      </c>
      <c r="O68" s="54">
        <v>3389.5</v>
      </c>
      <c r="P68" s="54">
        <f t="shared" si="32"/>
        <v>0</v>
      </c>
      <c r="Q68" s="54">
        <f t="shared" si="2"/>
        <v>2902.3099999999995</v>
      </c>
      <c r="R68" s="55">
        <f t="shared" si="3"/>
        <v>0.13963738572078777</v>
      </c>
      <c r="S68" s="55">
        <f t="shared" si="4"/>
        <v>0.86036261427921223</v>
      </c>
      <c r="T68" s="56"/>
      <c r="V68" s="57"/>
      <c r="W68" s="58"/>
      <c r="X68" s="58"/>
      <c r="Y68" s="58"/>
      <c r="Z68" s="58"/>
      <c r="AA68" s="58"/>
      <c r="AB68" s="58">
        <f t="shared" si="5"/>
        <v>0</v>
      </c>
      <c r="AC68" s="58"/>
      <c r="AD68" s="59"/>
      <c r="AE68" s="60"/>
      <c r="AF68" s="61"/>
      <c r="AG68" s="59"/>
      <c r="AH68" s="60"/>
      <c r="AI68" s="62"/>
      <c r="AJ68" s="62">
        <f t="shared" si="6"/>
        <v>0</v>
      </c>
      <c r="AK68" s="63"/>
      <c r="AL68" s="64">
        <f t="shared" si="7"/>
        <v>0</v>
      </c>
      <c r="AP68" s="65">
        <f t="shared" si="8"/>
        <v>0</v>
      </c>
      <c r="AQ68" s="16">
        <f t="shared" si="9"/>
        <v>1</v>
      </c>
      <c r="AR68" s="16">
        <f t="shared" si="10"/>
        <v>0</v>
      </c>
      <c r="AS68" s="66">
        <f t="shared" si="11"/>
        <v>0</v>
      </c>
      <c r="AT68" s="67">
        <f t="shared" si="12"/>
        <v>0</v>
      </c>
      <c r="AU68" s="68">
        <f t="shared" si="13"/>
        <v>0</v>
      </c>
      <c r="AV68" s="19">
        <f t="shared" si="14"/>
        <v>0</v>
      </c>
      <c r="AW68" s="69">
        <f t="shared" si="15"/>
        <v>0</v>
      </c>
      <c r="AY68" s="65">
        <f t="shared" si="16"/>
        <v>1</v>
      </c>
      <c r="AZ68" s="16">
        <f t="shared" si="17"/>
        <v>1</v>
      </c>
      <c r="BA68" s="16">
        <f t="shared" si="18"/>
        <v>1</v>
      </c>
      <c r="BB68" s="70">
        <f t="shared" si="19"/>
        <v>5087.97</v>
      </c>
      <c r="BC68" s="67">
        <f t="shared" si="20"/>
        <v>20784.62</v>
      </c>
      <c r="BD68" s="71">
        <f t="shared" si="21"/>
        <v>5.0999999999999996</v>
      </c>
      <c r="BE68" s="19">
        <f t="shared" si="22"/>
        <v>4.7218488160134398E-3</v>
      </c>
      <c r="BF68" s="69">
        <f t="shared" si="23"/>
        <v>6.5934662443691374E-4</v>
      </c>
      <c r="BH68" s="72">
        <f t="shared" si="24"/>
        <v>20784.62</v>
      </c>
      <c r="BI68" s="73">
        <f t="shared" si="25"/>
        <v>1</v>
      </c>
      <c r="BJ68" s="74">
        <f t="shared" si="26"/>
        <v>1.8477924654128617E-3</v>
      </c>
      <c r="BK68" s="75">
        <f t="shared" si="27"/>
        <v>2.5802090922482116E-4</v>
      </c>
      <c r="BM68" s="76">
        <f t="shared" si="28"/>
        <v>1</v>
      </c>
    </row>
    <row r="69" spans="1:65" ht="12.75" customHeight="1" x14ac:dyDescent="0.2">
      <c r="A69" s="47"/>
      <c r="B69" s="48" t="s">
        <v>179</v>
      </c>
      <c r="C69" s="49">
        <v>17524.009999999998</v>
      </c>
      <c r="D69" s="50">
        <v>13</v>
      </c>
      <c r="E69" s="49">
        <v>17524.009999999998</v>
      </c>
      <c r="F69" s="50" t="s">
        <v>55</v>
      </c>
      <c r="G69" s="51">
        <v>39965</v>
      </c>
      <c r="H69" s="52" t="s">
        <v>56</v>
      </c>
      <c r="I69" s="51">
        <v>40509</v>
      </c>
      <c r="J69" s="52">
        <f t="shared" si="0"/>
        <v>18.133333333333333</v>
      </c>
      <c r="K69" s="53" t="s">
        <v>180</v>
      </c>
      <c r="L69" s="53">
        <v>19132.580000000002</v>
      </c>
      <c r="M69" s="54">
        <v>27.34</v>
      </c>
      <c r="N69" s="54">
        <v>5041.1099999999997</v>
      </c>
      <c r="O69" s="54">
        <v>37.46</v>
      </c>
      <c r="P69" s="54">
        <f t="shared" si="32"/>
        <v>0</v>
      </c>
      <c r="Q69" s="54">
        <f t="shared" si="2"/>
        <v>3497.3399999999965</v>
      </c>
      <c r="R69" s="55">
        <f t="shared" si="3"/>
        <v>0.19957418421925099</v>
      </c>
      <c r="S69" s="55">
        <f t="shared" si="4"/>
        <v>0.80042581578074901</v>
      </c>
      <c r="T69" s="56"/>
      <c r="V69" s="57"/>
      <c r="W69" s="58"/>
      <c r="X69" s="58"/>
      <c r="Y69" s="58"/>
      <c r="Z69" s="58"/>
      <c r="AA69" s="58"/>
      <c r="AB69" s="58">
        <f t="shared" si="5"/>
        <v>0</v>
      </c>
      <c r="AC69" s="58"/>
      <c r="AD69" s="59"/>
      <c r="AE69" s="60"/>
      <c r="AF69" s="61"/>
      <c r="AG69" s="59"/>
      <c r="AH69" s="60"/>
      <c r="AI69" s="62"/>
      <c r="AJ69" s="62">
        <f t="shared" si="6"/>
        <v>0</v>
      </c>
      <c r="AK69" s="63"/>
      <c r="AL69" s="64">
        <f t="shared" si="7"/>
        <v>0</v>
      </c>
      <c r="AP69" s="65">
        <f t="shared" si="8"/>
        <v>1</v>
      </c>
      <c r="AQ69" s="16">
        <f t="shared" si="9"/>
        <v>1</v>
      </c>
      <c r="AR69" s="16">
        <f t="shared" si="10"/>
        <v>1</v>
      </c>
      <c r="AS69" s="66">
        <f t="shared" si="11"/>
        <v>5078.57</v>
      </c>
      <c r="AT69" s="67">
        <f t="shared" si="12"/>
        <v>17524.009999999998</v>
      </c>
      <c r="AU69" s="68">
        <f t="shared" si="13"/>
        <v>18.133333333333333</v>
      </c>
      <c r="AV69" s="19">
        <f t="shared" si="14"/>
        <v>2.5595368952673037E-3</v>
      </c>
      <c r="AW69" s="69">
        <f t="shared" si="15"/>
        <v>5.1081748785204663E-4</v>
      </c>
      <c r="AY69" s="65">
        <f t="shared" si="16"/>
        <v>0</v>
      </c>
      <c r="AZ69" s="16">
        <f t="shared" si="17"/>
        <v>1</v>
      </c>
      <c r="BA69" s="16">
        <f t="shared" si="18"/>
        <v>0</v>
      </c>
      <c r="BB69" s="70">
        <f t="shared" si="19"/>
        <v>0</v>
      </c>
      <c r="BC69" s="67">
        <f t="shared" si="20"/>
        <v>0</v>
      </c>
      <c r="BD69" s="71">
        <f t="shared" si="21"/>
        <v>0</v>
      </c>
      <c r="BE69" s="19">
        <f t="shared" si="22"/>
        <v>0</v>
      </c>
      <c r="BF69" s="69">
        <f t="shared" si="23"/>
        <v>0</v>
      </c>
      <c r="BH69" s="72">
        <f t="shared" si="24"/>
        <v>17524.009999999998</v>
      </c>
      <c r="BI69" s="73">
        <f t="shared" si="25"/>
        <v>1</v>
      </c>
      <c r="BJ69" s="74">
        <f t="shared" si="26"/>
        <v>1.5579180009939869E-3</v>
      </c>
      <c r="BK69" s="75">
        <f t="shared" si="27"/>
        <v>3.1092021412886119E-4</v>
      </c>
      <c r="BM69" s="76">
        <f t="shared" si="28"/>
        <v>1</v>
      </c>
    </row>
    <row r="70" spans="1:65" ht="12.75" customHeight="1" x14ac:dyDescent="0.2">
      <c r="A70" s="47"/>
      <c r="B70" s="48" t="s">
        <v>181</v>
      </c>
      <c r="C70" s="49">
        <v>21365.5</v>
      </c>
      <c r="D70" s="50">
        <v>13</v>
      </c>
      <c r="E70" s="49">
        <v>18271.18</v>
      </c>
      <c r="F70" s="50" t="s">
        <v>55</v>
      </c>
      <c r="G70" s="51">
        <v>39972</v>
      </c>
      <c r="H70" s="52" t="s">
        <v>56</v>
      </c>
      <c r="I70" s="51">
        <v>39967</v>
      </c>
      <c r="J70" s="52">
        <f t="shared" si="0"/>
        <v>-0.16666666666666666</v>
      </c>
      <c r="K70" s="53" t="s">
        <v>68</v>
      </c>
      <c r="L70" s="53">
        <v>23378.87</v>
      </c>
      <c r="M70" s="54">
        <v>3232.46</v>
      </c>
      <c r="N70" s="54">
        <v>4185.05</v>
      </c>
      <c r="O70" s="54">
        <v>0</v>
      </c>
      <c r="P70" s="54">
        <f t="shared" si="32"/>
        <v>0</v>
      </c>
      <c r="Q70" s="54">
        <f t="shared" si="2"/>
        <v>2309.8200000000015</v>
      </c>
      <c r="R70" s="55">
        <f t="shared" si="3"/>
        <v>0.1264187644147779</v>
      </c>
      <c r="S70" s="55">
        <f t="shared" si="4"/>
        <v>0.87358123558522216</v>
      </c>
      <c r="T70" s="56"/>
      <c r="V70" s="57"/>
      <c r="W70" s="58"/>
      <c r="X70" s="58"/>
      <c r="Y70" s="58"/>
      <c r="Z70" s="58"/>
      <c r="AA70" s="58"/>
      <c r="AB70" s="58">
        <f t="shared" si="5"/>
        <v>0</v>
      </c>
      <c r="AC70" s="58"/>
      <c r="AD70" s="59"/>
      <c r="AE70" s="60"/>
      <c r="AF70" s="61"/>
      <c r="AG70" s="59"/>
      <c r="AH70" s="60"/>
      <c r="AI70" s="62"/>
      <c r="AJ70" s="62">
        <f t="shared" si="6"/>
        <v>0</v>
      </c>
      <c r="AK70" s="63"/>
      <c r="AL70" s="64">
        <f t="shared" si="7"/>
        <v>0</v>
      </c>
      <c r="AP70" s="65">
        <f t="shared" si="8"/>
        <v>1</v>
      </c>
      <c r="AQ70" s="16">
        <f t="shared" si="9"/>
        <v>1</v>
      </c>
      <c r="AR70" s="16">
        <f t="shared" si="10"/>
        <v>1</v>
      </c>
      <c r="AS70" s="66">
        <f t="shared" si="11"/>
        <v>4185.05</v>
      </c>
      <c r="AT70" s="67">
        <f t="shared" si="12"/>
        <v>18271.18</v>
      </c>
      <c r="AU70" s="68">
        <f t="shared" si="13"/>
        <v>-0.16666666666666666</v>
      </c>
      <c r="AV70" s="19">
        <f t="shared" si="14"/>
        <v>2.6686676925013202E-3</v>
      </c>
      <c r="AW70" s="69">
        <f t="shared" si="15"/>
        <v>3.3736967231965336E-4</v>
      </c>
      <c r="AY70" s="65">
        <f t="shared" si="16"/>
        <v>0</v>
      </c>
      <c r="AZ70" s="16">
        <f t="shared" si="17"/>
        <v>1</v>
      </c>
      <c r="BA70" s="16">
        <f t="shared" si="18"/>
        <v>0</v>
      </c>
      <c r="BB70" s="70">
        <f t="shared" si="19"/>
        <v>0</v>
      </c>
      <c r="BC70" s="67">
        <f t="shared" si="20"/>
        <v>0</v>
      </c>
      <c r="BD70" s="71">
        <f t="shared" si="21"/>
        <v>0</v>
      </c>
      <c r="BE70" s="19">
        <f t="shared" si="22"/>
        <v>0</v>
      </c>
      <c r="BF70" s="69">
        <f t="shared" si="23"/>
        <v>0</v>
      </c>
      <c r="BH70" s="72">
        <f t="shared" si="24"/>
        <v>18271.18</v>
      </c>
      <c r="BI70" s="73">
        <f t="shared" si="25"/>
        <v>1</v>
      </c>
      <c r="BJ70" s="74">
        <f t="shared" si="26"/>
        <v>1.6243428428425525E-3</v>
      </c>
      <c r="BK70" s="75">
        <f t="shared" si="27"/>
        <v>2.0534741517814323E-4</v>
      </c>
      <c r="BM70" s="76">
        <f t="shared" si="28"/>
        <v>1</v>
      </c>
    </row>
    <row r="71" spans="1:65" ht="12.75" customHeight="1" x14ac:dyDescent="0.2">
      <c r="A71" s="47"/>
      <c r="B71" s="48" t="s">
        <v>182</v>
      </c>
      <c r="C71" s="49">
        <v>26460</v>
      </c>
      <c r="D71" s="50">
        <v>13</v>
      </c>
      <c r="E71" s="49">
        <f>24595.13+1396.59</f>
        <v>25991.72</v>
      </c>
      <c r="F71" s="50" t="s">
        <v>63</v>
      </c>
      <c r="G71" s="51">
        <v>40056</v>
      </c>
      <c r="H71" s="52" t="s">
        <v>56</v>
      </c>
      <c r="I71" s="51">
        <v>40147</v>
      </c>
      <c r="J71" s="52">
        <f t="shared" si="0"/>
        <v>3.0333333333333332</v>
      </c>
      <c r="K71" s="53" t="s">
        <v>183</v>
      </c>
      <c r="L71" s="53">
        <v>30000</v>
      </c>
      <c r="M71" s="54">
        <v>1115.8399999999999</v>
      </c>
      <c r="N71" s="54">
        <v>1691.34</v>
      </c>
      <c r="O71" s="54">
        <v>1796.95</v>
      </c>
      <c r="P71" s="54">
        <f t="shared" si="32"/>
        <v>0</v>
      </c>
      <c r="Q71" s="54">
        <f t="shared" si="2"/>
        <v>595.85000000000127</v>
      </c>
      <c r="R71" s="55">
        <f t="shared" si="3"/>
        <v>2.2924608298335057E-2</v>
      </c>
      <c r="S71" s="55">
        <f t="shared" si="4"/>
        <v>0.97707539170166491</v>
      </c>
      <c r="T71" s="56"/>
      <c r="V71" s="57"/>
      <c r="W71" s="58"/>
      <c r="X71" s="58"/>
      <c r="Y71" s="58"/>
      <c r="Z71" s="58"/>
      <c r="AA71" s="58"/>
      <c r="AB71" s="58">
        <f t="shared" si="5"/>
        <v>0</v>
      </c>
      <c r="AC71" s="58"/>
      <c r="AD71" s="59"/>
      <c r="AE71" s="60"/>
      <c r="AF71" s="61"/>
      <c r="AG71" s="59"/>
      <c r="AH71" s="60"/>
      <c r="AI71" s="62"/>
      <c r="AJ71" s="62">
        <f t="shared" si="6"/>
        <v>0</v>
      </c>
      <c r="AK71" s="63"/>
      <c r="AL71" s="64">
        <f t="shared" si="7"/>
        <v>0</v>
      </c>
      <c r="AP71" s="65">
        <f t="shared" si="8"/>
        <v>0</v>
      </c>
      <c r="AQ71" s="16">
        <f t="shared" si="9"/>
        <v>1</v>
      </c>
      <c r="AR71" s="16">
        <f t="shared" si="10"/>
        <v>0</v>
      </c>
      <c r="AS71" s="66">
        <f t="shared" si="11"/>
        <v>0</v>
      </c>
      <c r="AT71" s="67">
        <f t="shared" si="12"/>
        <v>0</v>
      </c>
      <c r="AU71" s="68">
        <f t="shared" si="13"/>
        <v>0</v>
      </c>
      <c r="AV71" s="19">
        <f t="shared" si="14"/>
        <v>0</v>
      </c>
      <c r="AW71" s="69">
        <f t="shared" si="15"/>
        <v>0</v>
      </c>
      <c r="AY71" s="65">
        <f t="shared" si="16"/>
        <v>1</v>
      </c>
      <c r="AZ71" s="16">
        <f t="shared" si="17"/>
        <v>1</v>
      </c>
      <c r="BA71" s="16">
        <f t="shared" si="18"/>
        <v>1</v>
      </c>
      <c r="BB71" s="70">
        <f t="shared" si="19"/>
        <v>3488.29</v>
      </c>
      <c r="BC71" s="67">
        <f t="shared" si="20"/>
        <v>25991.72</v>
      </c>
      <c r="BD71" s="71">
        <f t="shared" si="21"/>
        <v>3.0333333333333332</v>
      </c>
      <c r="BE71" s="19">
        <f t="shared" si="22"/>
        <v>5.9047975045082787E-3</v>
      </c>
      <c r="BF71" s="69">
        <f t="shared" si="23"/>
        <v>1.3536516987183863E-4</v>
      </c>
      <c r="BH71" s="72">
        <f t="shared" si="24"/>
        <v>25991.72</v>
      </c>
      <c r="BI71" s="73">
        <f t="shared" si="25"/>
        <v>1</v>
      </c>
      <c r="BJ71" s="74">
        <f t="shared" si="26"/>
        <v>2.3107136131967189E-3</v>
      </c>
      <c r="BK71" s="75">
        <f t="shared" si="27"/>
        <v>5.2972204472165288E-5</v>
      </c>
      <c r="BM71" s="76">
        <f t="shared" si="28"/>
        <v>1</v>
      </c>
    </row>
    <row r="72" spans="1:65" ht="12.75" customHeight="1" x14ac:dyDescent="0.2">
      <c r="A72" s="47"/>
      <c r="B72" s="48" t="s">
        <v>184</v>
      </c>
      <c r="C72" s="49">
        <v>25500</v>
      </c>
      <c r="D72" s="50">
        <v>13</v>
      </c>
      <c r="E72" s="49">
        <f>1885.87+22866.75</f>
        <v>24752.62</v>
      </c>
      <c r="F72" s="50" t="s">
        <v>55</v>
      </c>
      <c r="G72" s="51">
        <v>40057</v>
      </c>
      <c r="H72" s="52" t="s">
        <v>56</v>
      </c>
      <c r="I72" s="51">
        <v>40247</v>
      </c>
      <c r="J72" s="52">
        <f t="shared" si="0"/>
        <v>6.333333333333333</v>
      </c>
      <c r="K72" s="53" t="s">
        <v>185</v>
      </c>
      <c r="L72" s="53">
        <v>35376.93</v>
      </c>
      <c r="M72" s="54">
        <v>286.29000000000002</v>
      </c>
      <c r="N72" s="54">
        <v>400</v>
      </c>
      <c r="O72" s="54">
        <v>1486</v>
      </c>
      <c r="P72" s="54">
        <f t="shared" si="32"/>
        <v>0</v>
      </c>
      <c r="Q72" s="54">
        <f t="shared" si="2"/>
        <v>0</v>
      </c>
      <c r="R72" s="55">
        <f t="shared" si="3"/>
        <v>0</v>
      </c>
      <c r="S72" s="55">
        <f t="shared" si="4"/>
        <v>1</v>
      </c>
      <c r="T72" s="56"/>
      <c r="V72" s="57"/>
      <c r="W72" s="58"/>
      <c r="X72" s="58"/>
      <c r="Y72" s="58"/>
      <c r="Z72" s="58"/>
      <c r="AA72" s="58"/>
      <c r="AB72" s="58">
        <f t="shared" si="5"/>
        <v>0</v>
      </c>
      <c r="AC72" s="58"/>
      <c r="AD72" s="59"/>
      <c r="AE72" s="60"/>
      <c r="AF72" s="61"/>
      <c r="AG72" s="59"/>
      <c r="AH72" s="60"/>
      <c r="AI72" s="62"/>
      <c r="AJ72" s="62">
        <f t="shared" si="6"/>
        <v>0</v>
      </c>
      <c r="AK72" s="63"/>
      <c r="AL72" s="64">
        <f t="shared" si="7"/>
        <v>0</v>
      </c>
      <c r="AP72" s="65">
        <f t="shared" si="8"/>
        <v>1</v>
      </c>
      <c r="AQ72" s="16">
        <f t="shared" si="9"/>
        <v>1</v>
      </c>
      <c r="AR72" s="16">
        <f t="shared" si="10"/>
        <v>1</v>
      </c>
      <c r="AS72" s="66">
        <f t="shared" si="11"/>
        <v>1886</v>
      </c>
      <c r="AT72" s="67">
        <f t="shared" si="12"/>
        <v>24752.62</v>
      </c>
      <c r="AU72" s="68">
        <f t="shared" si="13"/>
        <v>6.333333333333333</v>
      </c>
      <c r="AV72" s="19">
        <f t="shared" si="14"/>
        <v>3.6153394197179396E-3</v>
      </c>
      <c r="AW72" s="69">
        <f t="shared" si="15"/>
        <v>0</v>
      </c>
      <c r="AY72" s="65">
        <f t="shared" si="16"/>
        <v>0</v>
      </c>
      <c r="AZ72" s="16">
        <f t="shared" si="17"/>
        <v>1</v>
      </c>
      <c r="BA72" s="16">
        <f t="shared" si="18"/>
        <v>0</v>
      </c>
      <c r="BB72" s="70">
        <f t="shared" si="19"/>
        <v>0</v>
      </c>
      <c r="BC72" s="67">
        <f t="shared" si="20"/>
        <v>0</v>
      </c>
      <c r="BD72" s="71">
        <f t="shared" si="21"/>
        <v>0</v>
      </c>
      <c r="BE72" s="19">
        <f t="shared" si="22"/>
        <v>0</v>
      </c>
      <c r="BF72" s="69">
        <f t="shared" si="23"/>
        <v>0</v>
      </c>
      <c r="BH72" s="72">
        <f t="shared" si="24"/>
        <v>24752.62</v>
      </c>
      <c r="BI72" s="73">
        <f t="shared" si="25"/>
        <v>1</v>
      </c>
      <c r="BJ72" s="74">
        <f t="shared" si="26"/>
        <v>2.2005552536071243E-3</v>
      </c>
      <c r="BK72" s="75">
        <f t="shared" si="27"/>
        <v>0</v>
      </c>
      <c r="BM72" s="76">
        <f t="shared" si="28"/>
        <v>1</v>
      </c>
    </row>
    <row r="73" spans="1:65" ht="12.75" customHeight="1" x14ac:dyDescent="0.2">
      <c r="A73" s="47"/>
      <c r="B73" s="48" t="s">
        <v>186</v>
      </c>
      <c r="C73" s="49">
        <v>19531.900000000001</v>
      </c>
      <c r="D73" s="50">
        <v>13</v>
      </c>
      <c r="E73" s="49">
        <v>18522.599999999999</v>
      </c>
      <c r="F73" s="50" t="s">
        <v>55</v>
      </c>
      <c r="G73" s="51">
        <v>40064</v>
      </c>
      <c r="H73" s="52" t="s">
        <v>56</v>
      </c>
      <c r="I73" s="51">
        <v>40057</v>
      </c>
      <c r="J73" s="52">
        <f t="shared" si="0"/>
        <v>-0.23333333333333334</v>
      </c>
      <c r="K73" s="53" t="s">
        <v>187</v>
      </c>
      <c r="L73" s="53">
        <v>21520.6</v>
      </c>
      <c r="M73" s="54">
        <v>124.71</v>
      </c>
      <c r="N73" s="54">
        <v>5785.37</v>
      </c>
      <c r="O73" s="54">
        <v>224.83</v>
      </c>
      <c r="P73" s="54">
        <v>0</v>
      </c>
      <c r="Q73" s="54">
        <f t="shared" si="2"/>
        <v>3136.91</v>
      </c>
      <c r="R73" s="55">
        <f t="shared" si="3"/>
        <v>0.16935581397859911</v>
      </c>
      <c r="S73" s="55">
        <f t="shared" si="4"/>
        <v>0.83064418602140089</v>
      </c>
      <c r="T73" s="56"/>
      <c r="V73" s="57"/>
      <c r="W73" s="58"/>
      <c r="X73" s="58"/>
      <c r="Y73" s="58"/>
      <c r="Z73" s="58"/>
      <c r="AA73" s="58"/>
      <c r="AB73" s="58">
        <f t="shared" si="5"/>
        <v>0</v>
      </c>
      <c r="AC73" s="58"/>
      <c r="AD73" s="59"/>
      <c r="AE73" s="60"/>
      <c r="AF73" s="61"/>
      <c r="AG73" s="59"/>
      <c r="AH73" s="60"/>
      <c r="AI73" s="62"/>
      <c r="AJ73" s="62">
        <f t="shared" si="6"/>
        <v>0</v>
      </c>
      <c r="AK73" s="63"/>
      <c r="AL73" s="64">
        <f t="shared" si="7"/>
        <v>0</v>
      </c>
      <c r="AP73" s="65">
        <f t="shared" si="8"/>
        <v>1</v>
      </c>
      <c r="AQ73" s="16">
        <f t="shared" si="9"/>
        <v>1</v>
      </c>
      <c r="AR73" s="16">
        <f t="shared" si="10"/>
        <v>1</v>
      </c>
      <c r="AS73" s="66">
        <f t="shared" si="11"/>
        <v>6010.2</v>
      </c>
      <c r="AT73" s="67">
        <f t="shared" si="12"/>
        <v>18522.599999999999</v>
      </c>
      <c r="AU73" s="68">
        <f t="shared" si="13"/>
        <v>-0.23333333333333334</v>
      </c>
      <c r="AV73" s="19">
        <f t="shared" si="14"/>
        <v>2.7053898106813544E-3</v>
      </c>
      <c r="AW73" s="69">
        <f t="shared" si="15"/>
        <v>4.5817349351734893E-4</v>
      </c>
      <c r="AY73" s="65">
        <f t="shared" si="16"/>
        <v>0</v>
      </c>
      <c r="AZ73" s="16">
        <f t="shared" si="17"/>
        <v>1</v>
      </c>
      <c r="BA73" s="16">
        <f t="shared" si="18"/>
        <v>0</v>
      </c>
      <c r="BB73" s="70">
        <f t="shared" si="19"/>
        <v>0</v>
      </c>
      <c r="BC73" s="67">
        <f t="shared" si="20"/>
        <v>0</v>
      </c>
      <c r="BD73" s="71">
        <f t="shared" si="21"/>
        <v>0</v>
      </c>
      <c r="BE73" s="19">
        <f t="shared" si="22"/>
        <v>0</v>
      </c>
      <c r="BF73" s="69">
        <f t="shared" si="23"/>
        <v>0</v>
      </c>
      <c r="BH73" s="72">
        <f t="shared" si="24"/>
        <v>18522.599999999999</v>
      </c>
      <c r="BI73" s="73">
        <f t="shared" si="25"/>
        <v>1</v>
      </c>
      <c r="BJ73" s="74">
        <f t="shared" si="26"/>
        <v>1.6466945616449215E-3</v>
      </c>
      <c r="BK73" s="75">
        <f t="shared" si="27"/>
        <v>2.7887729786150816E-4</v>
      </c>
      <c r="BM73" s="76">
        <f t="shared" si="28"/>
        <v>1</v>
      </c>
    </row>
    <row r="74" spans="1:65" ht="12.75" customHeight="1" x14ac:dyDescent="0.2">
      <c r="A74" s="47"/>
      <c r="B74" s="48" t="s">
        <v>188</v>
      </c>
      <c r="C74" s="49">
        <v>18995.25</v>
      </c>
      <c r="D74" s="50">
        <v>13</v>
      </c>
      <c r="E74" s="49">
        <v>15475.79</v>
      </c>
      <c r="F74" s="50" t="s">
        <v>55</v>
      </c>
      <c r="G74" s="51">
        <v>40086</v>
      </c>
      <c r="H74" s="52" t="s">
        <v>56</v>
      </c>
      <c r="I74" s="51">
        <v>40147</v>
      </c>
      <c r="J74" s="52">
        <f t="shared" si="0"/>
        <v>2.0333333333333332</v>
      </c>
      <c r="K74" s="53" t="s">
        <v>180</v>
      </c>
      <c r="L74" s="53">
        <v>20480.79</v>
      </c>
      <c r="M74" s="54">
        <v>347.56</v>
      </c>
      <c r="N74" s="54">
        <v>1175</v>
      </c>
      <c r="O74" s="54">
        <v>581.21</v>
      </c>
      <c r="P74" s="54">
        <v>0</v>
      </c>
      <c r="Q74" s="54">
        <f t="shared" si="2"/>
        <v>0</v>
      </c>
      <c r="R74" s="55">
        <f t="shared" si="3"/>
        <v>0</v>
      </c>
      <c r="S74" s="55">
        <f t="shared" si="4"/>
        <v>1</v>
      </c>
      <c r="T74" s="56"/>
      <c r="V74" s="57"/>
      <c r="W74" s="58"/>
      <c r="X74" s="58"/>
      <c r="Y74" s="58"/>
      <c r="Z74" s="58"/>
      <c r="AA74" s="58"/>
      <c r="AB74" s="58">
        <f t="shared" si="5"/>
        <v>0</v>
      </c>
      <c r="AC74" s="58"/>
      <c r="AD74" s="59"/>
      <c r="AE74" s="60"/>
      <c r="AF74" s="61"/>
      <c r="AG74" s="59"/>
      <c r="AH74" s="60"/>
      <c r="AI74" s="62"/>
      <c r="AJ74" s="62">
        <f t="shared" si="6"/>
        <v>0</v>
      </c>
      <c r="AK74" s="63"/>
      <c r="AL74" s="64">
        <f t="shared" si="7"/>
        <v>0</v>
      </c>
      <c r="AP74" s="65">
        <f t="shared" si="8"/>
        <v>1</v>
      </c>
      <c r="AQ74" s="16">
        <f t="shared" si="9"/>
        <v>1</v>
      </c>
      <c r="AR74" s="16">
        <f t="shared" si="10"/>
        <v>1</v>
      </c>
      <c r="AS74" s="66">
        <f t="shared" si="11"/>
        <v>1756.21</v>
      </c>
      <c r="AT74" s="67">
        <f t="shared" si="12"/>
        <v>15475.79</v>
      </c>
      <c r="AU74" s="68">
        <f t="shared" si="13"/>
        <v>2.0333333333333332</v>
      </c>
      <c r="AV74" s="19">
        <f t="shared" si="14"/>
        <v>2.2603762203062426E-3</v>
      </c>
      <c r="AW74" s="69">
        <f t="shared" si="15"/>
        <v>0</v>
      </c>
      <c r="AY74" s="65">
        <f t="shared" si="16"/>
        <v>0</v>
      </c>
      <c r="AZ74" s="16">
        <f t="shared" si="17"/>
        <v>1</v>
      </c>
      <c r="BA74" s="16">
        <f t="shared" si="18"/>
        <v>0</v>
      </c>
      <c r="BB74" s="70">
        <f t="shared" si="19"/>
        <v>0</v>
      </c>
      <c r="BC74" s="67">
        <f t="shared" si="20"/>
        <v>0</v>
      </c>
      <c r="BD74" s="71">
        <f t="shared" si="21"/>
        <v>0</v>
      </c>
      <c r="BE74" s="19">
        <f t="shared" si="22"/>
        <v>0</v>
      </c>
      <c r="BF74" s="69">
        <f t="shared" si="23"/>
        <v>0</v>
      </c>
      <c r="BH74" s="72">
        <f t="shared" si="24"/>
        <v>15475.79</v>
      </c>
      <c r="BI74" s="73">
        <f t="shared" si="25"/>
        <v>1</v>
      </c>
      <c r="BJ74" s="74">
        <f t="shared" si="26"/>
        <v>1.3758273260859094E-3</v>
      </c>
      <c r="BK74" s="75">
        <f t="shared" si="27"/>
        <v>0</v>
      </c>
      <c r="BM74" s="76">
        <f t="shared" si="28"/>
        <v>1</v>
      </c>
    </row>
    <row r="75" spans="1:65" ht="12.75" customHeight="1" x14ac:dyDescent="0.2">
      <c r="A75" s="47"/>
      <c r="B75" s="48" t="s">
        <v>189</v>
      </c>
      <c r="C75" s="49">
        <v>22484.12</v>
      </c>
      <c r="D75" s="50">
        <v>3</v>
      </c>
      <c r="E75" s="49">
        <v>21886.95</v>
      </c>
      <c r="F75" s="50" t="s">
        <v>63</v>
      </c>
      <c r="G75" s="51">
        <v>40087</v>
      </c>
      <c r="H75" s="52" t="s">
        <v>56</v>
      </c>
      <c r="I75" s="51">
        <v>40148</v>
      </c>
      <c r="J75" s="52">
        <f t="shared" si="0"/>
        <v>2.0333333333333332</v>
      </c>
      <c r="K75" s="53" t="s">
        <v>190</v>
      </c>
      <c r="L75" s="53">
        <v>27500</v>
      </c>
      <c r="M75" s="54">
        <v>230.29</v>
      </c>
      <c r="N75" s="54">
        <v>1465.91</v>
      </c>
      <c r="O75" s="54">
        <v>4839.08</v>
      </c>
      <c r="P75" s="54">
        <f t="shared" ref="P75:P94" si="33">IF(L75="N/A",0,IF(L75-E75&gt;0,0,E75-L75))</f>
        <v>0</v>
      </c>
      <c r="Q75" s="54">
        <f t="shared" si="2"/>
        <v>922.23000000000047</v>
      </c>
      <c r="R75" s="55">
        <f t="shared" si="3"/>
        <v>4.2136067382618429E-2</v>
      </c>
      <c r="S75" s="55">
        <f t="shared" si="4"/>
        <v>0.95786393261738156</v>
      </c>
      <c r="T75" s="56"/>
      <c r="V75" s="57"/>
      <c r="W75" s="58"/>
      <c r="X75" s="58"/>
      <c r="Y75" s="58"/>
      <c r="Z75" s="58"/>
      <c r="AA75" s="58"/>
      <c r="AB75" s="58">
        <f t="shared" si="5"/>
        <v>0</v>
      </c>
      <c r="AC75" s="58"/>
      <c r="AD75" s="59"/>
      <c r="AE75" s="60"/>
      <c r="AF75" s="61"/>
      <c r="AG75" s="59"/>
      <c r="AH75" s="60"/>
      <c r="AI75" s="62"/>
      <c r="AJ75" s="62">
        <f t="shared" si="6"/>
        <v>0</v>
      </c>
      <c r="AK75" s="63"/>
      <c r="AL75" s="64">
        <f t="shared" si="7"/>
        <v>0</v>
      </c>
      <c r="AP75" s="65">
        <f t="shared" si="8"/>
        <v>0</v>
      </c>
      <c r="AQ75" s="16">
        <f t="shared" si="9"/>
        <v>1</v>
      </c>
      <c r="AR75" s="16">
        <f t="shared" si="10"/>
        <v>0</v>
      </c>
      <c r="AS75" s="66">
        <f t="shared" si="11"/>
        <v>0</v>
      </c>
      <c r="AT75" s="67">
        <f t="shared" si="12"/>
        <v>0</v>
      </c>
      <c r="AU75" s="68">
        <f t="shared" si="13"/>
        <v>0</v>
      </c>
      <c r="AV75" s="19">
        <f t="shared" si="14"/>
        <v>0</v>
      </c>
      <c r="AW75" s="69">
        <f t="shared" si="15"/>
        <v>0</v>
      </c>
      <c r="AY75" s="65">
        <f t="shared" si="16"/>
        <v>1</v>
      </c>
      <c r="AZ75" s="16">
        <f t="shared" si="17"/>
        <v>1</v>
      </c>
      <c r="BA75" s="16">
        <f t="shared" si="18"/>
        <v>1</v>
      </c>
      <c r="BB75" s="70">
        <f t="shared" si="19"/>
        <v>6304.99</v>
      </c>
      <c r="BC75" s="67">
        <f t="shared" si="20"/>
        <v>21886.95</v>
      </c>
      <c r="BD75" s="71">
        <f t="shared" si="21"/>
        <v>2.0333333333333332</v>
      </c>
      <c r="BE75" s="19">
        <f t="shared" si="22"/>
        <v>4.9722760841259244E-3</v>
      </c>
      <c r="BF75" s="69">
        <f t="shared" si="23"/>
        <v>2.0951216012571206E-4</v>
      </c>
      <c r="BH75" s="72">
        <f t="shared" si="24"/>
        <v>21886.95</v>
      </c>
      <c r="BI75" s="73">
        <f t="shared" si="25"/>
        <v>1</v>
      </c>
      <c r="BJ75" s="74">
        <f t="shared" si="26"/>
        <v>1.9457917104507099E-3</v>
      </c>
      <c r="BK75" s="75">
        <f t="shared" si="27"/>
        <v>8.1988010624091479E-5</v>
      </c>
      <c r="BM75" s="76">
        <f t="shared" si="28"/>
        <v>1</v>
      </c>
    </row>
    <row r="76" spans="1:65" ht="12.75" customHeight="1" x14ac:dyDescent="0.2">
      <c r="A76" s="47"/>
      <c r="B76" s="48" t="s">
        <v>191</v>
      </c>
      <c r="C76" s="49">
        <v>30000</v>
      </c>
      <c r="D76" s="50">
        <v>13</v>
      </c>
      <c r="E76" s="49">
        <v>26928.31</v>
      </c>
      <c r="F76" s="50" t="s">
        <v>63</v>
      </c>
      <c r="G76" s="51">
        <v>40087</v>
      </c>
      <c r="H76" s="52" t="s">
        <v>56</v>
      </c>
      <c r="I76" s="51">
        <v>40326</v>
      </c>
      <c r="J76" s="52">
        <f t="shared" si="0"/>
        <v>7.9666666666666668</v>
      </c>
      <c r="K76" s="53" t="s">
        <v>192</v>
      </c>
      <c r="L76" s="53">
        <v>30000</v>
      </c>
      <c r="M76" s="54">
        <v>79.47</v>
      </c>
      <c r="N76" s="54">
        <v>1940</v>
      </c>
      <c r="O76" s="54">
        <v>61</v>
      </c>
      <c r="P76" s="54">
        <f t="shared" si="33"/>
        <v>0</v>
      </c>
      <c r="Q76" s="54">
        <f t="shared" si="2"/>
        <v>0</v>
      </c>
      <c r="R76" s="55">
        <f t="shared" si="3"/>
        <v>0</v>
      </c>
      <c r="S76" s="55">
        <f t="shared" si="4"/>
        <v>1</v>
      </c>
      <c r="T76" s="56"/>
      <c r="V76" s="57"/>
      <c r="W76" s="58"/>
      <c r="X76" s="58"/>
      <c r="Y76" s="58"/>
      <c r="Z76" s="58"/>
      <c r="AA76" s="58"/>
      <c r="AB76" s="58">
        <f t="shared" si="5"/>
        <v>0</v>
      </c>
      <c r="AC76" s="58"/>
      <c r="AD76" s="59"/>
      <c r="AE76" s="60"/>
      <c r="AF76" s="61"/>
      <c r="AG76" s="59"/>
      <c r="AH76" s="60"/>
      <c r="AI76" s="62"/>
      <c r="AJ76" s="62">
        <f t="shared" si="6"/>
        <v>0</v>
      </c>
      <c r="AK76" s="63"/>
      <c r="AL76" s="64">
        <f t="shared" si="7"/>
        <v>0</v>
      </c>
      <c r="AP76" s="65">
        <f t="shared" si="8"/>
        <v>0</v>
      </c>
      <c r="AQ76" s="16">
        <f t="shared" si="9"/>
        <v>1</v>
      </c>
      <c r="AR76" s="16">
        <f t="shared" si="10"/>
        <v>0</v>
      </c>
      <c r="AS76" s="66">
        <f t="shared" si="11"/>
        <v>0</v>
      </c>
      <c r="AT76" s="67">
        <f t="shared" si="12"/>
        <v>0</v>
      </c>
      <c r="AU76" s="68">
        <f t="shared" si="13"/>
        <v>0</v>
      </c>
      <c r="AV76" s="19">
        <f t="shared" si="14"/>
        <v>0</v>
      </c>
      <c r="AW76" s="69">
        <f t="shared" si="15"/>
        <v>0</v>
      </c>
      <c r="AY76" s="65">
        <f t="shared" si="16"/>
        <v>1</v>
      </c>
      <c r="AZ76" s="16">
        <f t="shared" si="17"/>
        <v>1</v>
      </c>
      <c r="BA76" s="16">
        <f t="shared" si="18"/>
        <v>1</v>
      </c>
      <c r="BB76" s="70">
        <f t="shared" si="19"/>
        <v>2001</v>
      </c>
      <c r="BC76" s="67">
        <f t="shared" si="20"/>
        <v>26928.31</v>
      </c>
      <c r="BD76" s="71">
        <f t="shared" si="21"/>
        <v>7.9666666666666668</v>
      </c>
      <c r="BE76" s="19">
        <f t="shared" si="22"/>
        <v>6.117571968635601E-3</v>
      </c>
      <c r="BF76" s="69">
        <f t="shared" si="23"/>
        <v>0</v>
      </c>
      <c r="BH76" s="72">
        <f t="shared" si="24"/>
        <v>26928.31</v>
      </c>
      <c r="BI76" s="73">
        <f t="shared" si="25"/>
        <v>1</v>
      </c>
      <c r="BJ76" s="74">
        <f t="shared" si="26"/>
        <v>2.3939782552821181E-3</v>
      </c>
      <c r="BK76" s="75">
        <f t="shared" si="27"/>
        <v>0</v>
      </c>
      <c r="BM76" s="76">
        <f t="shared" si="28"/>
        <v>1</v>
      </c>
    </row>
    <row r="77" spans="1:65" ht="12.75" customHeight="1" x14ac:dyDescent="0.2">
      <c r="A77" s="47"/>
      <c r="B77" s="48" t="s">
        <v>193</v>
      </c>
      <c r="C77" s="49">
        <v>43950</v>
      </c>
      <c r="D77" s="50">
        <v>13</v>
      </c>
      <c r="E77" s="49">
        <v>42609.69</v>
      </c>
      <c r="F77" s="50" t="s">
        <v>63</v>
      </c>
      <c r="G77" s="51">
        <v>40087</v>
      </c>
      <c r="H77" s="52" t="s">
        <v>56</v>
      </c>
      <c r="I77" s="51">
        <v>40339</v>
      </c>
      <c r="J77" s="52">
        <f t="shared" si="0"/>
        <v>8.4</v>
      </c>
      <c r="K77" s="53" t="s">
        <v>194</v>
      </c>
      <c r="L77" s="53">
        <v>44926.5</v>
      </c>
      <c r="M77" s="54">
        <v>123.45</v>
      </c>
      <c r="N77" s="54">
        <v>2839.23</v>
      </c>
      <c r="O77" s="54">
        <v>0</v>
      </c>
      <c r="P77" s="54">
        <f t="shared" si="33"/>
        <v>0</v>
      </c>
      <c r="Q77" s="54">
        <f t="shared" si="2"/>
        <v>645.87000000000216</v>
      </c>
      <c r="R77" s="55">
        <f t="shared" si="3"/>
        <v>1.5157819735370103E-2</v>
      </c>
      <c r="S77" s="55">
        <f t="shared" si="4"/>
        <v>0.98484218026462989</v>
      </c>
      <c r="T77" s="56"/>
      <c r="V77" s="57"/>
      <c r="W77" s="58"/>
      <c r="X77" s="58"/>
      <c r="Y77" s="58"/>
      <c r="Z77" s="58"/>
      <c r="AA77" s="58"/>
      <c r="AB77" s="58">
        <f t="shared" si="5"/>
        <v>0</v>
      </c>
      <c r="AC77" s="58"/>
      <c r="AD77" s="59"/>
      <c r="AE77" s="60"/>
      <c r="AF77" s="61"/>
      <c r="AG77" s="59"/>
      <c r="AH77" s="60"/>
      <c r="AI77" s="62"/>
      <c r="AJ77" s="62">
        <f t="shared" si="6"/>
        <v>0</v>
      </c>
      <c r="AK77" s="63"/>
      <c r="AL77" s="64">
        <f t="shared" si="7"/>
        <v>0</v>
      </c>
      <c r="AP77" s="65">
        <f t="shared" si="8"/>
        <v>0</v>
      </c>
      <c r="AQ77" s="16">
        <f t="shared" si="9"/>
        <v>1</v>
      </c>
      <c r="AR77" s="16">
        <f t="shared" si="10"/>
        <v>0</v>
      </c>
      <c r="AS77" s="66">
        <f t="shared" si="11"/>
        <v>0</v>
      </c>
      <c r="AT77" s="67">
        <f t="shared" si="12"/>
        <v>0</v>
      </c>
      <c r="AU77" s="68">
        <f t="shared" si="13"/>
        <v>0</v>
      </c>
      <c r="AV77" s="19">
        <f t="shared" si="14"/>
        <v>0</v>
      </c>
      <c r="AW77" s="69">
        <f t="shared" si="15"/>
        <v>0</v>
      </c>
      <c r="AY77" s="65">
        <f t="shared" si="16"/>
        <v>1</v>
      </c>
      <c r="AZ77" s="16">
        <f t="shared" si="17"/>
        <v>1</v>
      </c>
      <c r="BA77" s="16">
        <f t="shared" si="18"/>
        <v>1</v>
      </c>
      <c r="BB77" s="70">
        <f t="shared" si="19"/>
        <v>2839.23</v>
      </c>
      <c r="BC77" s="67">
        <f t="shared" si="20"/>
        <v>42609.69</v>
      </c>
      <c r="BD77" s="71">
        <f t="shared" si="21"/>
        <v>8.4</v>
      </c>
      <c r="BE77" s="19">
        <f t="shared" si="22"/>
        <v>9.680067005179779E-3</v>
      </c>
      <c r="BF77" s="69">
        <f t="shared" si="23"/>
        <v>1.4672871069081902E-4</v>
      </c>
      <c r="BH77" s="72">
        <f t="shared" si="24"/>
        <v>42609.69</v>
      </c>
      <c r="BI77" s="73">
        <f t="shared" si="25"/>
        <v>1</v>
      </c>
      <c r="BJ77" s="74">
        <f t="shared" si="26"/>
        <v>3.7880829255275182E-3</v>
      </c>
      <c r="BK77" s="75">
        <f t="shared" si="27"/>
        <v>5.7419078127779528E-5</v>
      </c>
      <c r="BM77" s="76">
        <f t="shared" si="28"/>
        <v>1</v>
      </c>
    </row>
    <row r="78" spans="1:65" ht="12.75" customHeight="1" x14ac:dyDescent="0.2">
      <c r="A78" s="47"/>
      <c r="B78" s="48" t="s">
        <v>195</v>
      </c>
      <c r="C78" s="49">
        <v>32323.23</v>
      </c>
      <c r="D78" s="50">
        <v>4</v>
      </c>
      <c r="E78" s="49">
        <v>30965.46</v>
      </c>
      <c r="F78" s="50" t="s">
        <v>55</v>
      </c>
      <c r="G78" s="51">
        <v>40087</v>
      </c>
      <c r="H78" s="52" t="s">
        <v>56</v>
      </c>
      <c r="I78" s="51">
        <v>40461</v>
      </c>
      <c r="J78" s="52">
        <f t="shared" si="0"/>
        <v>12.466666666666667</v>
      </c>
      <c r="K78" s="53" t="s">
        <v>180</v>
      </c>
      <c r="L78" s="53">
        <v>32682.31</v>
      </c>
      <c r="M78" s="54">
        <v>47.49</v>
      </c>
      <c r="N78" s="54">
        <v>5622.65</v>
      </c>
      <c r="O78" s="54">
        <v>110</v>
      </c>
      <c r="P78" s="54">
        <f t="shared" si="33"/>
        <v>0</v>
      </c>
      <c r="Q78" s="54">
        <f t="shared" si="2"/>
        <v>4063.2899999999972</v>
      </c>
      <c r="R78" s="55">
        <f t="shared" si="3"/>
        <v>0.13122007552931547</v>
      </c>
      <c r="S78" s="55">
        <f t="shared" si="4"/>
        <v>0.86877992447068453</v>
      </c>
      <c r="T78" s="56"/>
      <c r="V78" s="57"/>
      <c r="W78" s="58"/>
      <c r="X78" s="58"/>
      <c r="Y78" s="58"/>
      <c r="Z78" s="58"/>
      <c r="AA78" s="58"/>
      <c r="AB78" s="58">
        <f t="shared" si="5"/>
        <v>0</v>
      </c>
      <c r="AC78" s="58"/>
      <c r="AD78" s="59"/>
      <c r="AE78" s="60"/>
      <c r="AF78" s="61"/>
      <c r="AG78" s="59"/>
      <c r="AH78" s="60"/>
      <c r="AI78" s="62"/>
      <c r="AJ78" s="62">
        <f t="shared" si="6"/>
        <v>0</v>
      </c>
      <c r="AK78" s="63"/>
      <c r="AL78" s="64">
        <f t="shared" si="7"/>
        <v>0</v>
      </c>
      <c r="AP78" s="65">
        <f t="shared" si="8"/>
        <v>1</v>
      </c>
      <c r="AQ78" s="16">
        <f t="shared" si="9"/>
        <v>1</v>
      </c>
      <c r="AR78" s="16">
        <f t="shared" si="10"/>
        <v>1</v>
      </c>
      <c r="AS78" s="66">
        <f t="shared" si="11"/>
        <v>5732.65</v>
      </c>
      <c r="AT78" s="67">
        <f t="shared" si="12"/>
        <v>30965.46</v>
      </c>
      <c r="AU78" s="68">
        <f t="shared" si="13"/>
        <v>12.466666666666667</v>
      </c>
      <c r="AV78" s="19">
        <f t="shared" si="14"/>
        <v>4.5227797375671378E-3</v>
      </c>
      <c r="AW78" s="69">
        <f t="shared" si="15"/>
        <v>5.9347949876601747E-4</v>
      </c>
      <c r="AY78" s="65">
        <f t="shared" si="16"/>
        <v>0</v>
      </c>
      <c r="AZ78" s="16">
        <f t="shared" si="17"/>
        <v>1</v>
      </c>
      <c r="BA78" s="16">
        <f t="shared" si="18"/>
        <v>0</v>
      </c>
      <c r="BB78" s="70">
        <f t="shared" si="19"/>
        <v>0</v>
      </c>
      <c r="BC78" s="67">
        <f t="shared" si="20"/>
        <v>0</v>
      </c>
      <c r="BD78" s="71">
        <f t="shared" si="21"/>
        <v>0</v>
      </c>
      <c r="BE78" s="19">
        <f t="shared" si="22"/>
        <v>0</v>
      </c>
      <c r="BF78" s="69">
        <f t="shared" si="23"/>
        <v>0</v>
      </c>
      <c r="BH78" s="72">
        <f t="shared" si="24"/>
        <v>30965.46</v>
      </c>
      <c r="BI78" s="73">
        <f t="shared" si="25"/>
        <v>1</v>
      </c>
      <c r="BJ78" s="74">
        <f t="shared" si="26"/>
        <v>2.7528886107151995E-3</v>
      </c>
      <c r="BK78" s="75">
        <f t="shared" si="27"/>
        <v>3.612342514218408E-4</v>
      </c>
      <c r="BM78" s="76">
        <f t="shared" si="28"/>
        <v>1</v>
      </c>
    </row>
    <row r="79" spans="1:65" ht="12.75" customHeight="1" x14ac:dyDescent="0.2">
      <c r="A79" s="47"/>
      <c r="B79" s="48" t="s">
        <v>196</v>
      </c>
      <c r="C79" s="49">
        <v>28761.05</v>
      </c>
      <c r="D79" s="50">
        <v>13</v>
      </c>
      <c r="E79" s="49">
        <f>14931.86+13512.51</f>
        <v>28444.370000000003</v>
      </c>
      <c r="F79" s="50" t="s">
        <v>63</v>
      </c>
      <c r="G79" s="51">
        <v>40117</v>
      </c>
      <c r="H79" s="52" t="s">
        <v>56</v>
      </c>
      <c r="I79" s="51">
        <v>40327</v>
      </c>
      <c r="J79" s="52">
        <f t="shared" si="0"/>
        <v>7</v>
      </c>
      <c r="K79" s="53" t="s">
        <v>197</v>
      </c>
      <c r="L79" s="53">
        <v>31500</v>
      </c>
      <c r="M79" s="54">
        <v>737.88</v>
      </c>
      <c r="N79" s="54">
        <v>1995.07</v>
      </c>
      <c r="O79" s="54">
        <v>242</v>
      </c>
      <c r="P79" s="54">
        <f t="shared" si="33"/>
        <v>0</v>
      </c>
      <c r="Q79" s="54">
        <f t="shared" si="2"/>
        <v>0</v>
      </c>
      <c r="R79" s="55">
        <f t="shared" si="3"/>
        <v>0</v>
      </c>
      <c r="S79" s="55">
        <f t="shared" si="4"/>
        <v>1</v>
      </c>
      <c r="T79" s="56"/>
      <c r="V79" s="57"/>
      <c r="W79" s="58"/>
      <c r="X79" s="58"/>
      <c r="Y79" s="58"/>
      <c r="Z79" s="58"/>
      <c r="AA79" s="58"/>
      <c r="AB79" s="58">
        <f t="shared" si="5"/>
        <v>0</v>
      </c>
      <c r="AC79" s="58"/>
      <c r="AD79" s="59"/>
      <c r="AE79" s="60"/>
      <c r="AF79" s="61"/>
      <c r="AG79" s="59"/>
      <c r="AH79" s="60"/>
      <c r="AI79" s="62"/>
      <c r="AJ79" s="62">
        <f t="shared" si="6"/>
        <v>0</v>
      </c>
      <c r="AK79" s="63"/>
      <c r="AL79" s="64">
        <f t="shared" si="7"/>
        <v>0</v>
      </c>
      <c r="AP79" s="65">
        <f t="shared" si="8"/>
        <v>0</v>
      </c>
      <c r="AQ79" s="16">
        <f t="shared" si="9"/>
        <v>1</v>
      </c>
      <c r="AR79" s="16">
        <f t="shared" si="10"/>
        <v>0</v>
      </c>
      <c r="AS79" s="66">
        <f t="shared" si="11"/>
        <v>0</v>
      </c>
      <c r="AT79" s="67">
        <f t="shared" si="12"/>
        <v>0</v>
      </c>
      <c r="AU79" s="68">
        <f t="shared" si="13"/>
        <v>0</v>
      </c>
      <c r="AV79" s="19">
        <f t="shared" si="14"/>
        <v>0</v>
      </c>
      <c r="AW79" s="69">
        <f t="shared" si="15"/>
        <v>0</v>
      </c>
      <c r="AY79" s="65">
        <f t="shared" si="16"/>
        <v>1</v>
      </c>
      <c r="AZ79" s="16">
        <f t="shared" si="17"/>
        <v>1</v>
      </c>
      <c r="BA79" s="16">
        <f t="shared" si="18"/>
        <v>1</v>
      </c>
      <c r="BB79" s="70">
        <f t="shared" si="19"/>
        <v>2237.0699999999997</v>
      </c>
      <c r="BC79" s="67">
        <f t="shared" si="20"/>
        <v>28444.370000000003</v>
      </c>
      <c r="BD79" s="71">
        <f t="shared" si="21"/>
        <v>7</v>
      </c>
      <c r="BE79" s="19">
        <f t="shared" si="22"/>
        <v>6.4619903951454597E-3</v>
      </c>
      <c r="BF79" s="69">
        <f t="shared" si="23"/>
        <v>0</v>
      </c>
      <c r="BH79" s="72">
        <f t="shared" si="24"/>
        <v>28444.370000000003</v>
      </c>
      <c r="BI79" s="73">
        <f t="shared" si="25"/>
        <v>1</v>
      </c>
      <c r="BJ79" s="74">
        <f t="shared" si="26"/>
        <v>2.5287588885154334E-3</v>
      </c>
      <c r="BK79" s="75">
        <f t="shared" si="27"/>
        <v>0</v>
      </c>
      <c r="BM79" s="76">
        <f t="shared" si="28"/>
        <v>1</v>
      </c>
    </row>
    <row r="80" spans="1:65" ht="12.75" customHeight="1" x14ac:dyDescent="0.2">
      <c r="A80" s="47"/>
      <c r="B80" s="48" t="s">
        <v>198</v>
      </c>
      <c r="C80" s="49">
        <v>22173.98</v>
      </c>
      <c r="D80" s="50">
        <v>6</v>
      </c>
      <c r="E80" s="49">
        <v>21710.86</v>
      </c>
      <c r="F80" s="50" t="s">
        <v>63</v>
      </c>
      <c r="G80" s="51">
        <v>40117</v>
      </c>
      <c r="H80" s="52" t="s">
        <v>56</v>
      </c>
      <c r="I80" s="51">
        <v>40443</v>
      </c>
      <c r="J80" s="52">
        <f t="shared" si="0"/>
        <v>10.866666666666667</v>
      </c>
      <c r="K80" s="53" t="s">
        <v>180</v>
      </c>
      <c r="L80" s="53">
        <v>23656.79</v>
      </c>
      <c r="M80" s="54">
        <v>272.75</v>
      </c>
      <c r="N80" s="54">
        <v>2035.16</v>
      </c>
      <c r="O80" s="54">
        <v>110</v>
      </c>
      <c r="P80" s="54">
        <f t="shared" si="33"/>
        <v>0</v>
      </c>
      <c r="Q80" s="54">
        <f t="shared" si="2"/>
        <v>471.97999999999979</v>
      </c>
      <c r="R80" s="55">
        <f t="shared" si="3"/>
        <v>2.1739350721251934E-2</v>
      </c>
      <c r="S80" s="55">
        <f t="shared" si="4"/>
        <v>0.97826064927874812</v>
      </c>
      <c r="T80" s="56"/>
      <c r="V80" s="57"/>
      <c r="W80" s="58"/>
      <c r="X80" s="58"/>
      <c r="Y80" s="58"/>
      <c r="Z80" s="58"/>
      <c r="AA80" s="58"/>
      <c r="AB80" s="58">
        <f t="shared" si="5"/>
        <v>0</v>
      </c>
      <c r="AC80" s="58"/>
      <c r="AD80" s="59"/>
      <c r="AE80" s="60"/>
      <c r="AF80" s="61"/>
      <c r="AG80" s="59"/>
      <c r="AH80" s="60"/>
      <c r="AI80" s="62"/>
      <c r="AJ80" s="62">
        <f t="shared" si="6"/>
        <v>0</v>
      </c>
      <c r="AK80" s="63"/>
      <c r="AL80" s="64">
        <f t="shared" si="7"/>
        <v>0</v>
      </c>
      <c r="AP80" s="65">
        <f t="shared" si="8"/>
        <v>0</v>
      </c>
      <c r="AQ80" s="16">
        <f t="shared" si="9"/>
        <v>1</v>
      </c>
      <c r="AR80" s="16">
        <f t="shared" si="10"/>
        <v>0</v>
      </c>
      <c r="AS80" s="66">
        <f t="shared" si="11"/>
        <v>0</v>
      </c>
      <c r="AT80" s="67">
        <f t="shared" si="12"/>
        <v>0</v>
      </c>
      <c r="AU80" s="68">
        <f t="shared" si="13"/>
        <v>0</v>
      </c>
      <c r="AV80" s="19">
        <f t="shared" si="14"/>
        <v>0</v>
      </c>
      <c r="AW80" s="69">
        <f t="shared" si="15"/>
        <v>0</v>
      </c>
      <c r="AY80" s="65">
        <f t="shared" si="16"/>
        <v>1</v>
      </c>
      <c r="AZ80" s="16">
        <f t="shared" si="17"/>
        <v>1</v>
      </c>
      <c r="BA80" s="16">
        <f t="shared" si="18"/>
        <v>1</v>
      </c>
      <c r="BB80" s="70">
        <f t="shared" si="19"/>
        <v>2145.16</v>
      </c>
      <c r="BC80" s="67">
        <f t="shared" si="20"/>
        <v>21710.86</v>
      </c>
      <c r="BD80" s="71">
        <f t="shared" si="21"/>
        <v>10.866666666666667</v>
      </c>
      <c r="BE80" s="19">
        <f t="shared" si="22"/>
        <v>4.9322719677162034E-3</v>
      </c>
      <c r="BF80" s="69">
        <f t="shared" si="23"/>
        <v>1.0722439015878194E-4</v>
      </c>
      <c r="BH80" s="72">
        <f t="shared" si="24"/>
        <v>21710.86</v>
      </c>
      <c r="BI80" s="73">
        <f t="shared" si="25"/>
        <v>1</v>
      </c>
      <c r="BJ80" s="74">
        <f t="shared" si="26"/>
        <v>1.9301369727054659E-3</v>
      </c>
      <c r="BK80" s="75">
        <f t="shared" si="27"/>
        <v>4.1959924589699598E-5</v>
      </c>
      <c r="BM80" s="76">
        <f t="shared" si="28"/>
        <v>1</v>
      </c>
    </row>
    <row r="81" spans="1:65" ht="12.75" customHeight="1" x14ac:dyDescent="0.2">
      <c r="A81" s="47"/>
      <c r="B81" s="48" t="s">
        <v>199</v>
      </c>
      <c r="C81" s="49">
        <v>28440</v>
      </c>
      <c r="D81" s="50">
        <v>13</v>
      </c>
      <c r="E81" s="49">
        <f>10389.97+17343.79</f>
        <v>27733.760000000002</v>
      </c>
      <c r="F81" s="50" t="s">
        <v>63</v>
      </c>
      <c r="G81" s="51">
        <v>40179</v>
      </c>
      <c r="H81" s="52" t="s">
        <v>56</v>
      </c>
      <c r="I81" s="51">
        <v>40308</v>
      </c>
      <c r="J81" s="52">
        <f t="shared" si="0"/>
        <v>4.3</v>
      </c>
      <c r="K81" s="53" t="s">
        <v>200</v>
      </c>
      <c r="L81" s="53">
        <v>31000</v>
      </c>
      <c r="M81" s="54">
        <v>108.34</v>
      </c>
      <c r="N81" s="54">
        <v>6687.52</v>
      </c>
      <c r="O81" s="54">
        <v>1400.98</v>
      </c>
      <c r="P81" s="54">
        <f t="shared" si="33"/>
        <v>0</v>
      </c>
      <c r="Q81" s="54">
        <v>2212.04</v>
      </c>
      <c r="R81" s="55">
        <f t="shared" si="3"/>
        <v>7.9759830617990482E-2</v>
      </c>
      <c r="S81" s="55">
        <f t="shared" si="4"/>
        <v>0.92024016938200948</v>
      </c>
      <c r="T81" s="56"/>
      <c r="V81" s="57"/>
      <c r="W81" s="58"/>
      <c r="X81" s="58"/>
      <c r="Y81" s="58"/>
      <c r="Z81" s="58"/>
      <c r="AA81" s="58"/>
      <c r="AB81" s="58">
        <f t="shared" si="5"/>
        <v>0</v>
      </c>
      <c r="AC81" s="58"/>
      <c r="AD81" s="59"/>
      <c r="AE81" s="60"/>
      <c r="AF81" s="61"/>
      <c r="AG81" s="59"/>
      <c r="AH81" s="60"/>
      <c r="AI81" s="62"/>
      <c r="AJ81" s="62">
        <f t="shared" si="6"/>
        <v>0</v>
      </c>
      <c r="AK81" s="63"/>
      <c r="AL81" s="64">
        <f t="shared" si="7"/>
        <v>0</v>
      </c>
      <c r="AP81" s="65">
        <f t="shared" si="8"/>
        <v>0</v>
      </c>
      <c r="AQ81" s="16">
        <f t="shared" si="9"/>
        <v>1</v>
      </c>
      <c r="AR81" s="16">
        <f t="shared" si="10"/>
        <v>0</v>
      </c>
      <c r="AS81" s="66">
        <f t="shared" si="11"/>
        <v>0</v>
      </c>
      <c r="AT81" s="67">
        <f t="shared" si="12"/>
        <v>0</v>
      </c>
      <c r="AU81" s="68">
        <f t="shared" si="13"/>
        <v>0</v>
      </c>
      <c r="AV81" s="19">
        <f t="shared" si="14"/>
        <v>0</v>
      </c>
      <c r="AW81" s="69">
        <f t="shared" si="15"/>
        <v>0</v>
      </c>
      <c r="AY81" s="65">
        <f t="shared" si="16"/>
        <v>1</v>
      </c>
      <c r="AZ81" s="16">
        <f t="shared" si="17"/>
        <v>1</v>
      </c>
      <c r="BA81" s="16">
        <f t="shared" si="18"/>
        <v>1</v>
      </c>
      <c r="BB81" s="70">
        <f t="shared" si="19"/>
        <v>8088.5</v>
      </c>
      <c r="BC81" s="67">
        <f t="shared" si="20"/>
        <v>27733.760000000002</v>
      </c>
      <c r="BD81" s="71">
        <f t="shared" si="21"/>
        <v>4.3</v>
      </c>
      <c r="BE81" s="19">
        <f t="shared" si="22"/>
        <v>6.3005540548540656E-3</v>
      </c>
      <c r="BF81" s="69">
        <f t="shared" si="23"/>
        <v>5.0253112421465339E-4</v>
      </c>
      <c r="BH81" s="72">
        <f t="shared" si="24"/>
        <v>27733.760000000002</v>
      </c>
      <c r="BI81" s="73">
        <f t="shared" si="25"/>
        <v>1</v>
      </c>
      <c r="BJ81" s="74">
        <f t="shared" si="26"/>
        <v>2.4655843005822868E-3</v>
      </c>
      <c r="BK81" s="75">
        <f t="shared" si="27"/>
        <v>1.9665458618881972E-4</v>
      </c>
      <c r="BM81" s="76">
        <f t="shared" si="28"/>
        <v>1</v>
      </c>
    </row>
    <row r="82" spans="1:65" ht="12.75" customHeight="1" x14ac:dyDescent="0.2">
      <c r="A82" s="47"/>
      <c r="B82" s="48" t="s">
        <v>201</v>
      </c>
      <c r="C82" s="49">
        <v>17424</v>
      </c>
      <c r="D82" s="50">
        <v>10</v>
      </c>
      <c r="E82" s="49">
        <v>16384.75</v>
      </c>
      <c r="F82" s="50" t="s">
        <v>63</v>
      </c>
      <c r="G82" s="51">
        <v>40203</v>
      </c>
      <c r="H82" s="52" t="s">
        <v>56</v>
      </c>
      <c r="I82" s="51">
        <v>40339</v>
      </c>
      <c r="J82" s="52">
        <f t="shared" si="0"/>
        <v>4.5333333333333332</v>
      </c>
      <c r="K82" s="53" t="s">
        <v>202</v>
      </c>
      <c r="L82" s="53">
        <v>18500</v>
      </c>
      <c r="M82" s="54">
        <v>94.22</v>
      </c>
      <c r="N82" s="54">
        <v>1017.21</v>
      </c>
      <c r="O82" s="54">
        <v>1108</v>
      </c>
      <c r="P82" s="54">
        <f t="shared" si="33"/>
        <v>0</v>
      </c>
      <c r="Q82" s="54">
        <f t="shared" ref="Q82:Q187" si="34">IF(L82="N/A",0,IF(L82-E82-M82-N82-O82&gt;0,0,(L82-E82-M82-N82-O82)*-1))</f>
        <v>104.18000000000006</v>
      </c>
      <c r="R82" s="55">
        <f t="shared" si="3"/>
        <v>6.3583515158913053E-3</v>
      </c>
      <c r="S82" s="55">
        <f t="shared" si="4"/>
        <v>0.99364164848410874</v>
      </c>
      <c r="T82" s="56"/>
      <c r="V82" s="57"/>
      <c r="W82" s="58"/>
      <c r="X82" s="58"/>
      <c r="Y82" s="58"/>
      <c r="Z82" s="58"/>
      <c r="AA82" s="58"/>
      <c r="AB82" s="58">
        <f t="shared" si="5"/>
        <v>0</v>
      </c>
      <c r="AC82" s="58"/>
      <c r="AD82" s="59"/>
      <c r="AE82" s="60"/>
      <c r="AF82" s="61"/>
      <c r="AG82" s="59"/>
      <c r="AH82" s="60"/>
      <c r="AI82" s="62"/>
      <c r="AJ82" s="62">
        <f t="shared" si="6"/>
        <v>0</v>
      </c>
      <c r="AK82" s="63"/>
      <c r="AL82" s="64">
        <f t="shared" si="7"/>
        <v>0</v>
      </c>
      <c r="AP82" s="65">
        <f t="shared" si="8"/>
        <v>0</v>
      </c>
      <c r="AQ82" s="16">
        <f t="shared" si="9"/>
        <v>1</v>
      </c>
      <c r="AR82" s="16">
        <f t="shared" si="10"/>
        <v>0</v>
      </c>
      <c r="AS82" s="66">
        <f t="shared" si="11"/>
        <v>0</v>
      </c>
      <c r="AT82" s="67">
        <f t="shared" si="12"/>
        <v>0</v>
      </c>
      <c r="AU82" s="68">
        <f t="shared" si="13"/>
        <v>0</v>
      </c>
      <c r="AV82" s="19">
        <f t="shared" si="14"/>
        <v>0</v>
      </c>
      <c r="AW82" s="69">
        <f t="shared" si="15"/>
        <v>0</v>
      </c>
      <c r="AY82" s="65">
        <f t="shared" si="16"/>
        <v>1</v>
      </c>
      <c r="AZ82" s="16">
        <f t="shared" si="17"/>
        <v>1</v>
      </c>
      <c r="BA82" s="16">
        <f t="shared" si="18"/>
        <v>1</v>
      </c>
      <c r="BB82" s="70">
        <f t="shared" si="19"/>
        <v>2125.21</v>
      </c>
      <c r="BC82" s="67">
        <f t="shared" si="20"/>
        <v>16384.75</v>
      </c>
      <c r="BD82" s="71">
        <f t="shared" si="21"/>
        <v>4.5333333333333332</v>
      </c>
      <c r="BE82" s="19">
        <f t="shared" si="22"/>
        <v>3.7222865940381021E-3</v>
      </c>
      <c r="BF82" s="69">
        <f t="shared" si="23"/>
        <v>2.3667606607784049E-5</v>
      </c>
      <c r="BH82" s="72">
        <f t="shared" si="24"/>
        <v>16384.75</v>
      </c>
      <c r="BI82" s="73">
        <f t="shared" si="25"/>
        <v>1</v>
      </c>
      <c r="BJ82" s="74">
        <f t="shared" si="26"/>
        <v>1.4566356083331514E-3</v>
      </c>
      <c r="BK82" s="75">
        <f t="shared" si="27"/>
        <v>9.2618012283463465E-6</v>
      </c>
      <c r="BM82" s="76">
        <f t="shared" si="28"/>
        <v>1</v>
      </c>
    </row>
    <row r="83" spans="1:65" ht="12.75" customHeight="1" x14ac:dyDescent="0.2">
      <c r="A83" s="47"/>
      <c r="B83" s="48" t="s">
        <v>203</v>
      </c>
      <c r="C83" s="49">
        <v>16385.88</v>
      </c>
      <c r="D83" s="50">
        <v>13</v>
      </c>
      <c r="E83" s="49">
        <v>15543.64</v>
      </c>
      <c r="F83" s="50" t="s">
        <v>55</v>
      </c>
      <c r="G83" s="51">
        <v>40231</v>
      </c>
      <c r="H83" s="52" t="s">
        <v>56</v>
      </c>
      <c r="I83" s="51">
        <v>40385</v>
      </c>
      <c r="J83" s="52">
        <f t="shared" si="0"/>
        <v>5.1333333333333337</v>
      </c>
      <c r="K83" s="53" t="s">
        <v>204</v>
      </c>
      <c r="L83" s="53">
        <v>18000</v>
      </c>
      <c r="M83" s="54">
        <v>263.83999999999997</v>
      </c>
      <c r="N83" s="54">
        <v>3473.15</v>
      </c>
      <c r="O83" s="54">
        <v>2168.8000000000002</v>
      </c>
      <c r="P83" s="54">
        <f t="shared" si="33"/>
        <v>0</v>
      </c>
      <c r="Q83" s="54">
        <f t="shared" si="34"/>
        <v>3449.43</v>
      </c>
      <c r="R83" s="55">
        <f t="shared" si="3"/>
        <v>0.22191906142962653</v>
      </c>
      <c r="S83" s="55">
        <f t="shared" si="4"/>
        <v>0.77808093857037353</v>
      </c>
      <c r="T83" s="56"/>
      <c r="V83" s="57"/>
      <c r="W83" s="58"/>
      <c r="X83" s="58"/>
      <c r="Y83" s="58"/>
      <c r="Z83" s="58"/>
      <c r="AA83" s="58"/>
      <c r="AB83" s="58">
        <f t="shared" si="5"/>
        <v>0</v>
      </c>
      <c r="AC83" s="58"/>
      <c r="AD83" s="59"/>
      <c r="AE83" s="60"/>
      <c r="AF83" s="61"/>
      <c r="AG83" s="59"/>
      <c r="AH83" s="60"/>
      <c r="AI83" s="62"/>
      <c r="AJ83" s="62">
        <f t="shared" si="6"/>
        <v>0</v>
      </c>
      <c r="AK83" s="63"/>
      <c r="AL83" s="64">
        <f t="shared" si="7"/>
        <v>0</v>
      </c>
      <c r="AP83" s="65">
        <f t="shared" si="8"/>
        <v>1</v>
      </c>
      <c r="AQ83" s="16">
        <f t="shared" si="9"/>
        <v>1</v>
      </c>
      <c r="AR83" s="16">
        <f t="shared" si="10"/>
        <v>1</v>
      </c>
      <c r="AS83" s="66">
        <f t="shared" si="11"/>
        <v>5641.9500000000007</v>
      </c>
      <c r="AT83" s="67">
        <f t="shared" si="12"/>
        <v>15543.64</v>
      </c>
      <c r="AU83" s="68">
        <f t="shared" si="13"/>
        <v>5.1333333333333337</v>
      </c>
      <c r="AV83" s="19">
        <f t="shared" si="14"/>
        <v>2.2702863138489809E-3</v>
      </c>
      <c r="AW83" s="69">
        <f t="shared" si="15"/>
        <v>5.0381980794589234E-4</v>
      </c>
      <c r="AY83" s="65">
        <f t="shared" si="16"/>
        <v>0</v>
      </c>
      <c r="AZ83" s="16">
        <f t="shared" si="17"/>
        <v>1</v>
      </c>
      <c r="BA83" s="16">
        <f t="shared" si="18"/>
        <v>0</v>
      </c>
      <c r="BB83" s="70">
        <f t="shared" si="19"/>
        <v>0</v>
      </c>
      <c r="BC83" s="67">
        <f t="shared" si="20"/>
        <v>0</v>
      </c>
      <c r="BD83" s="71">
        <f t="shared" si="21"/>
        <v>0</v>
      </c>
      <c r="BE83" s="19">
        <f t="shared" si="22"/>
        <v>0</v>
      </c>
      <c r="BF83" s="69">
        <f t="shared" si="23"/>
        <v>0</v>
      </c>
      <c r="BH83" s="72">
        <f t="shared" si="24"/>
        <v>15543.64</v>
      </c>
      <c r="BI83" s="73">
        <f t="shared" si="25"/>
        <v>1</v>
      </c>
      <c r="BJ83" s="74">
        <f t="shared" si="26"/>
        <v>1.3818593208386764E-3</v>
      </c>
      <c r="BK83" s="75">
        <f t="shared" si="27"/>
        <v>3.0666092350830021E-4</v>
      </c>
      <c r="BM83" s="76">
        <f t="shared" si="28"/>
        <v>1</v>
      </c>
    </row>
    <row r="84" spans="1:65" ht="12.75" customHeight="1" x14ac:dyDescent="0.2">
      <c r="A84" s="47"/>
      <c r="B84" s="48" t="s">
        <v>205</v>
      </c>
      <c r="C84" s="49">
        <v>23750</v>
      </c>
      <c r="D84" s="50">
        <v>13</v>
      </c>
      <c r="E84" s="49">
        <v>19225.3</v>
      </c>
      <c r="F84" s="50" t="s">
        <v>63</v>
      </c>
      <c r="G84" s="51">
        <v>40243</v>
      </c>
      <c r="H84" s="52" t="s">
        <v>56</v>
      </c>
      <c r="I84" s="51">
        <v>40512</v>
      </c>
      <c r="J84" s="52">
        <f t="shared" si="0"/>
        <v>8.9666666666666668</v>
      </c>
      <c r="K84" s="53" t="s">
        <v>180</v>
      </c>
      <c r="L84" s="53">
        <v>21038.98</v>
      </c>
      <c r="M84" s="54">
        <v>104.67</v>
      </c>
      <c r="N84" s="54">
        <v>0</v>
      </c>
      <c r="O84" s="54">
        <v>2664.91</v>
      </c>
      <c r="P84" s="54">
        <f t="shared" si="33"/>
        <v>0</v>
      </c>
      <c r="Q84" s="54">
        <f t="shared" si="34"/>
        <v>955.89999999999964</v>
      </c>
      <c r="R84" s="55">
        <f t="shared" si="3"/>
        <v>4.9720940635516721E-2</v>
      </c>
      <c r="S84" s="55">
        <f t="shared" si="4"/>
        <v>0.95027905936448331</v>
      </c>
      <c r="T84" s="56"/>
      <c r="V84" s="57"/>
      <c r="W84" s="58"/>
      <c r="X84" s="58"/>
      <c r="Y84" s="58"/>
      <c r="Z84" s="58"/>
      <c r="AA84" s="58"/>
      <c r="AB84" s="58">
        <f t="shared" si="5"/>
        <v>0</v>
      </c>
      <c r="AC84" s="58"/>
      <c r="AD84" s="59"/>
      <c r="AE84" s="60"/>
      <c r="AF84" s="61"/>
      <c r="AG84" s="59"/>
      <c r="AH84" s="60"/>
      <c r="AI84" s="62"/>
      <c r="AJ84" s="62">
        <f t="shared" si="6"/>
        <v>0</v>
      </c>
      <c r="AK84" s="63"/>
      <c r="AL84" s="64">
        <f t="shared" si="7"/>
        <v>0</v>
      </c>
      <c r="AP84" s="65">
        <f t="shared" si="8"/>
        <v>0</v>
      </c>
      <c r="AQ84" s="16">
        <f t="shared" si="9"/>
        <v>1</v>
      </c>
      <c r="AR84" s="16">
        <f t="shared" si="10"/>
        <v>0</v>
      </c>
      <c r="AS84" s="66">
        <f t="shared" si="11"/>
        <v>0</v>
      </c>
      <c r="AT84" s="67">
        <f t="shared" si="12"/>
        <v>0</v>
      </c>
      <c r="AU84" s="68">
        <f t="shared" si="13"/>
        <v>0</v>
      </c>
      <c r="AV84" s="19">
        <f t="shared" si="14"/>
        <v>0</v>
      </c>
      <c r="AW84" s="69">
        <f t="shared" si="15"/>
        <v>0</v>
      </c>
      <c r="AY84" s="65">
        <f t="shared" si="16"/>
        <v>1</v>
      </c>
      <c r="AZ84" s="16">
        <f t="shared" si="17"/>
        <v>1</v>
      </c>
      <c r="BA84" s="16">
        <f t="shared" si="18"/>
        <v>1</v>
      </c>
      <c r="BB84" s="70">
        <f t="shared" si="19"/>
        <v>2664.91</v>
      </c>
      <c r="BC84" s="67">
        <f t="shared" si="20"/>
        <v>19225.3</v>
      </c>
      <c r="BD84" s="71">
        <f t="shared" si="21"/>
        <v>8.9666666666666668</v>
      </c>
      <c r="BE84" s="19">
        <f t="shared" si="22"/>
        <v>4.3676025851087574E-3</v>
      </c>
      <c r="BF84" s="69">
        <f t="shared" si="23"/>
        <v>2.171613088537219E-4</v>
      </c>
      <c r="BH84" s="72">
        <f t="shared" si="24"/>
        <v>19225.3</v>
      </c>
      <c r="BI84" s="73">
        <f t="shared" si="25"/>
        <v>1</v>
      </c>
      <c r="BJ84" s="74">
        <f t="shared" si="26"/>
        <v>1.7091659354514005E-3</v>
      </c>
      <c r="BK84" s="75">
        <f t="shared" si="27"/>
        <v>8.4981338012826487E-5</v>
      </c>
      <c r="BM84" s="76">
        <f t="shared" si="28"/>
        <v>1</v>
      </c>
    </row>
    <row r="85" spans="1:65" ht="12.75" customHeight="1" x14ac:dyDescent="0.2">
      <c r="A85" s="47"/>
      <c r="B85" s="48" t="s">
        <v>206</v>
      </c>
      <c r="C85" s="49">
        <v>11875</v>
      </c>
      <c r="D85" s="50">
        <v>13</v>
      </c>
      <c r="E85" s="49">
        <v>10871.76</v>
      </c>
      <c r="F85" s="50" t="s">
        <v>63</v>
      </c>
      <c r="G85" s="51">
        <v>40247</v>
      </c>
      <c r="H85" s="52" t="s">
        <v>56</v>
      </c>
      <c r="I85" s="51">
        <v>40339</v>
      </c>
      <c r="J85" s="52">
        <f t="shared" si="0"/>
        <v>3.0666666666666669</v>
      </c>
      <c r="K85" s="53" t="s">
        <v>207</v>
      </c>
      <c r="L85" s="53">
        <v>15220</v>
      </c>
      <c r="M85" s="54">
        <v>159.16999999999999</v>
      </c>
      <c r="N85" s="54">
        <v>1344.87</v>
      </c>
      <c r="O85" s="54">
        <v>1756</v>
      </c>
      <c r="P85" s="54">
        <f t="shared" si="33"/>
        <v>0</v>
      </c>
      <c r="Q85" s="54">
        <f t="shared" si="34"/>
        <v>0</v>
      </c>
      <c r="R85" s="55">
        <f t="shared" si="3"/>
        <v>0</v>
      </c>
      <c r="S85" s="55">
        <f t="shared" si="4"/>
        <v>1</v>
      </c>
      <c r="T85" s="56"/>
      <c r="V85" s="57"/>
      <c r="W85" s="58"/>
      <c r="X85" s="58"/>
      <c r="Y85" s="58"/>
      <c r="Z85" s="58"/>
      <c r="AA85" s="58"/>
      <c r="AB85" s="58">
        <f t="shared" si="5"/>
        <v>0</v>
      </c>
      <c r="AC85" s="58"/>
      <c r="AD85" s="59"/>
      <c r="AE85" s="60"/>
      <c r="AF85" s="61"/>
      <c r="AG85" s="59"/>
      <c r="AH85" s="60"/>
      <c r="AI85" s="62"/>
      <c r="AJ85" s="62">
        <f t="shared" si="6"/>
        <v>0</v>
      </c>
      <c r="AK85" s="63"/>
      <c r="AL85" s="64">
        <f t="shared" si="7"/>
        <v>0</v>
      </c>
      <c r="AP85" s="65">
        <f t="shared" si="8"/>
        <v>0</v>
      </c>
      <c r="AQ85" s="16">
        <f t="shared" si="9"/>
        <v>1</v>
      </c>
      <c r="AR85" s="16">
        <f t="shared" si="10"/>
        <v>0</v>
      </c>
      <c r="AS85" s="66">
        <f t="shared" si="11"/>
        <v>0</v>
      </c>
      <c r="AT85" s="67">
        <f t="shared" si="12"/>
        <v>0</v>
      </c>
      <c r="AU85" s="68">
        <f t="shared" si="13"/>
        <v>0</v>
      </c>
      <c r="AV85" s="19">
        <f t="shared" si="14"/>
        <v>0</v>
      </c>
      <c r="AW85" s="69">
        <f t="shared" si="15"/>
        <v>0</v>
      </c>
      <c r="AY85" s="65">
        <f t="shared" si="16"/>
        <v>1</v>
      </c>
      <c r="AZ85" s="16">
        <f t="shared" si="17"/>
        <v>1</v>
      </c>
      <c r="BA85" s="16">
        <f t="shared" si="18"/>
        <v>1</v>
      </c>
      <c r="BB85" s="70">
        <f t="shared" si="19"/>
        <v>3100.87</v>
      </c>
      <c r="BC85" s="67">
        <f t="shared" si="20"/>
        <v>10871.76</v>
      </c>
      <c r="BD85" s="71">
        <f t="shared" si="21"/>
        <v>3.0666666666666669</v>
      </c>
      <c r="BE85" s="19">
        <f t="shared" si="22"/>
        <v>2.469845832350184E-3</v>
      </c>
      <c r="BF85" s="69">
        <f t="shared" si="23"/>
        <v>0</v>
      </c>
      <c r="BH85" s="72">
        <f t="shared" si="24"/>
        <v>10871.76</v>
      </c>
      <c r="BI85" s="73">
        <f t="shared" si="25"/>
        <v>1</v>
      </c>
      <c r="BJ85" s="74">
        <f t="shared" si="26"/>
        <v>9.6652025458136511E-4</v>
      </c>
      <c r="BK85" s="75">
        <f t="shared" si="27"/>
        <v>0</v>
      </c>
      <c r="BM85" s="76">
        <f t="shared" si="28"/>
        <v>1</v>
      </c>
    </row>
    <row r="86" spans="1:65" ht="12.75" customHeight="1" x14ac:dyDescent="0.2">
      <c r="A86" s="47"/>
      <c r="B86" s="48" t="s">
        <v>208</v>
      </c>
      <c r="C86" s="49">
        <v>27225</v>
      </c>
      <c r="D86" s="50">
        <v>13</v>
      </c>
      <c r="E86" s="49">
        <v>25029.37</v>
      </c>
      <c r="F86" s="50" t="s">
        <v>63</v>
      </c>
      <c r="G86" s="51">
        <v>40247</v>
      </c>
      <c r="H86" s="52" t="s">
        <v>56</v>
      </c>
      <c r="I86" s="51">
        <v>40389</v>
      </c>
      <c r="J86" s="52">
        <f t="shared" si="0"/>
        <v>4.7333333333333334</v>
      </c>
      <c r="K86" s="53" t="s">
        <v>209</v>
      </c>
      <c r="L86" s="53">
        <v>29000</v>
      </c>
      <c r="M86" s="54">
        <v>234.29</v>
      </c>
      <c r="N86" s="54">
        <v>0</v>
      </c>
      <c r="O86" s="54">
        <v>0</v>
      </c>
      <c r="P86" s="54">
        <f t="shared" si="33"/>
        <v>0</v>
      </c>
      <c r="Q86" s="54">
        <f t="shared" si="34"/>
        <v>0</v>
      </c>
      <c r="R86" s="55">
        <f t="shared" si="3"/>
        <v>0</v>
      </c>
      <c r="S86" s="55">
        <f t="shared" si="4"/>
        <v>1</v>
      </c>
      <c r="T86" s="56"/>
      <c r="V86" s="57"/>
      <c r="W86" s="58"/>
      <c r="X86" s="58"/>
      <c r="Y86" s="58"/>
      <c r="Z86" s="58"/>
      <c r="AA86" s="58"/>
      <c r="AB86" s="58">
        <f t="shared" si="5"/>
        <v>0</v>
      </c>
      <c r="AC86" s="58"/>
      <c r="AD86" s="59"/>
      <c r="AE86" s="60"/>
      <c r="AF86" s="61"/>
      <c r="AG86" s="59"/>
      <c r="AH86" s="60"/>
      <c r="AI86" s="62"/>
      <c r="AJ86" s="62">
        <f t="shared" si="6"/>
        <v>0</v>
      </c>
      <c r="AK86" s="63"/>
      <c r="AL86" s="64">
        <f t="shared" si="7"/>
        <v>0</v>
      </c>
      <c r="AP86" s="65">
        <f t="shared" si="8"/>
        <v>0</v>
      </c>
      <c r="AQ86" s="16">
        <f t="shared" si="9"/>
        <v>1</v>
      </c>
      <c r="AR86" s="16">
        <f t="shared" si="10"/>
        <v>0</v>
      </c>
      <c r="AS86" s="66">
        <f t="shared" si="11"/>
        <v>0</v>
      </c>
      <c r="AT86" s="67">
        <f t="shared" si="12"/>
        <v>0</v>
      </c>
      <c r="AU86" s="68">
        <f t="shared" si="13"/>
        <v>0</v>
      </c>
      <c r="AV86" s="19">
        <f t="shared" si="14"/>
        <v>0</v>
      </c>
      <c r="AW86" s="69">
        <f t="shared" si="15"/>
        <v>0</v>
      </c>
      <c r="AY86" s="65">
        <f t="shared" si="16"/>
        <v>1</v>
      </c>
      <c r="AZ86" s="16">
        <f t="shared" si="17"/>
        <v>1</v>
      </c>
      <c r="BA86" s="16">
        <f t="shared" si="18"/>
        <v>1</v>
      </c>
      <c r="BB86" s="70">
        <f t="shared" si="19"/>
        <v>0</v>
      </c>
      <c r="BC86" s="67">
        <f t="shared" si="20"/>
        <v>25029.37</v>
      </c>
      <c r="BD86" s="71">
        <f t="shared" si="21"/>
        <v>4.7333333333333334</v>
      </c>
      <c r="BE86" s="19">
        <f t="shared" si="22"/>
        <v>5.6861708850131643E-3</v>
      </c>
      <c r="BF86" s="69">
        <f t="shared" si="23"/>
        <v>0</v>
      </c>
      <c r="BH86" s="72">
        <f t="shared" si="24"/>
        <v>25029.37</v>
      </c>
      <c r="BI86" s="73">
        <f t="shared" si="25"/>
        <v>1</v>
      </c>
      <c r="BJ86" s="74">
        <f t="shared" si="26"/>
        <v>2.2251588578492518E-3</v>
      </c>
      <c r="BK86" s="75">
        <f t="shared" si="27"/>
        <v>0</v>
      </c>
      <c r="BM86" s="76">
        <f t="shared" si="28"/>
        <v>1</v>
      </c>
    </row>
    <row r="87" spans="1:65" ht="12.75" customHeight="1" x14ac:dyDescent="0.2">
      <c r="A87" s="47"/>
      <c r="B87" s="48" t="s">
        <v>210</v>
      </c>
      <c r="C87" s="49">
        <v>22831.38</v>
      </c>
      <c r="D87" s="50">
        <v>13</v>
      </c>
      <c r="E87" s="49">
        <v>20940.52</v>
      </c>
      <c r="F87" s="50" t="s">
        <v>63</v>
      </c>
      <c r="G87" s="51">
        <v>40247</v>
      </c>
      <c r="H87" s="52" t="s">
        <v>56</v>
      </c>
      <c r="I87" s="51">
        <v>40421</v>
      </c>
      <c r="J87" s="52">
        <f t="shared" si="0"/>
        <v>5.8</v>
      </c>
      <c r="K87" s="53" t="s">
        <v>211</v>
      </c>
      <c r="L87" s="53">
        <v>24200</v>
      </c>
      <c r="M87" s="54">
        <v>0</v>
      </c>
      <c r="N87" s="54">
        <v>1314.48</v>
      </c>
      <c r="O87" s="54">
        <v>0</v>
      </c>
      <c r="P87" s="54">
        <f t="shared" si="33"/>
        <v>0</v>
      </c>
      <c r="Q87" s="54">
        <f t="shared" si="34"/>
        <v>0</v>
      </c>
      <c r="R87" s="55">
        <f t="shared" si="3"/>
        <v>0</v>
      </c>
      <c r="S87" s="55">
        <f t="shared" si="4"/>
        <v>1</v>
      </c>
      <c r="T87" s="56"/>
      <c r="V87" s="57"/>
      <c r="W87" s="58"/>
      <c r="X87" s="58"/>
      <c r="Y87" s="58"/>
      <c r="Z87" s="58"/>
      <c r="AA87" s="58"/>
      <c r="AB87" s="58">
        <f t="shared" si="5"/>
        <v>0</v>
      </c>
      <c r="AC87" s="58"/>
      <c r="AD87" s="59"/>
      <c r="AE87" s="60"/>
      <c r="AF87" s="61"/>
      <c r="AG87" s="59"/>
      <c r="AH87" s="60"/>
      <c r="AI87" s="62"/>
      <c r="AJ87" s="62">
        <f t="shared" si="6"/>
        <v>0</v>
      </c>
      <c r="AK87" s="63"/>
      <c r="AL87" s="64">
        <f t="shared" si="7"/>
        <v>0</v>
      </c>
      <c r="AP87" s="65">
        <f t="shared" si="8"/>
        <v>0</v>
      </c>
      <c r="AQ87" s="16">
        <f t="shared" si="9"/>
        <v>1</v>
      </c>
      <c r="AR87" s="16">
        <f t="shared" si="10"/>
        <v>0</v>
      </c>
      <c r="AS87" s="66">
        <f t="shared" si="11"/>
        <v>0</v>
      </c>
      <c r="AT87" s="67">
        <f t="shared" si="12"/>
        <v>0</v>
      </c>
      <c r="AU87" s="68">
        <f t="shared" si="13"/>
        <v>0</v>
      </c>
      <c r="AV87" s="19">
        <f t="shared" si="14"/>
        <v>0</v>
      </c>
      <c r="AW87" s="69">
        <f t="shared" si="15"/>
        <v>0</v>
      </c>
      <c r="AY87" s="65">
        <f t="shared" si="16"/>
        <v>1</v>
      </c>
      <c r="AZ87" s="16">
        <f t="shared" si="17"/>
        <v>1</v>
      </c>
      <c r="BA87" s="16">
        <f t="shared" si="18"/>
        <v>1</v>
      </c>
      <c r="BB87" s="70">
        <f t="shared" si="19"/>
        <v>1314.48</v>
      </c>
      <c r="BC87" s="67">
        <f t="shared" si="20"/>
        <v>20940.52</v>
      </c>
      <c r="BD87" s="71">
        <f t="shared" si="21"/>
        <v>5.8</v>
      </c>
      <c r="BE87" s="19">
        <f t="shared" si="22"/>
        <v>4.7572661693456872E-3</v>
      </c>
      <c r="BF87" s="69">
        <f t="shared" si="23"/>
        <v>0</v>
      </c>
      <c r="BH87" s="72">
        <f t="shared" si="24"/>
        <v>20940.52</v>
      </c>
      <c r="BI87" s="73">
        <f t="shared" si="25"/>
        <v>1</v>
      </c>
      <c r="BJ87" s="74">
        <f t="shared" si="26"/>
        <v>1.8616522735478128E-3</v>
      </c>
      <c r="BK87" s="75">
        <f t="shared" si="27"/>
        <v>0</v>
      </c>
      <c r="BM87" s="76">
        <f t="shared" si="28"/>
        <v>1</v>
      </c>
    </row>
    <row r="88" spans="1:65" ht="12.75" customHeight="1" x14ac:dyDescent="0.2">
      <c r="A88" s="47"/>
      <c r="B88" s="48" t="s">
        <v>212</v>
      </c>
      <c r="C88" s="49">
        <v>25171.72</v>
      </c>
      <c r="D88" s="50">
        <v>13</v>
      </c>
      <c r="E88" s="49">
        <v>24291.75</v>
      </c>
      <c r="F88" s="50" t="s">
        <v>63</v>
      </c>
      <c r="G88" s="51">
        <v>40247</v>
      </c>
      <c r="H88" s="52" t="s">
        <v>56</v>
      </c>
      <c r="I88" s="51">
        <v>40466</v>
      </c>
      <c r="J88" s="52">
        <f t="shared" si="0"/>
        <v>7.3</v>
      </c>
      <c r="K88" s="53" t="s">
        <v>213</v>
      </c>
      <c r="L88" s="53">
        <v>33500</v>
      </c>
      <c r="M88" s="54">
        <v>2067.02</v>
      </c>
      <c r="N88" s="54">
        <v>2755.11</v>
      </c>
      <c r="O88" s="54">
        <v>105</v>
      </c>
      <c r="P88" s="54">
        <f t="shared" si="33"/>
        <v>0</v>
      </c>
      <c r="Q88" s="54">
        <f t="shared" si="34"/>
        <v>0</v>
      </c>
      <c r="R88" s="55">
        <f t="shared" si="3"/>
        <v>0</v>
      </c>
      <c r="S88" s="55">
        <f t="shared" si="4"/>
        <v>1</v>
      </c>
      <c r="T88" s="56"/>
      <c r="V88" s="57"/>
      <c r="W88" s="58"/>
      <c r="X88" s="58"/>
      <c r="Y88" s="58"/>
      <c r="Z88" s="58"/>
      <c r="AA88" s="58"/>
      <c r="AB88" s="58">
        <f t="shared" si="5"/>
        <v>0</v>
      </c>
      <c r="AC88" s="58"/>
      <c r="AD88" s="59"/>
      <c r="AE88" s="60"/>
      <c r="AF88" s="61"/>
      <c r="AG88" s="59"/>
      <c r="AH88" s="60"/>
      <c r="AI88" s="62"/>
      <c r="AJ88" s="62">
        <f t="shared" si="6"/>
        <v>0</v>
      </c>
      <c r="AK88" s="63"/>
      <c r="AL88" s="64">
        <f t="shared" si="7"/>
        <v>0</v>
      </c>
      <c r="AP88" s="65">
        <f t="shared" si="8"/>
        <v>0</v>
      </c>
      <c r="AQ88" s="16">
        <f t="shared" si="9"/>
        <v>1</v>
      </c>
      <c r="AR88" s="16">
        <f t="shared" si="10"/>
        <v>0</v>
      </c>
      <c r="AS88" s="66">
        <f t="shared" si="11"/>
        <v>0</v>
      </c>
      <c r="AT88" s="67">
        <f t="shared" si="12"/>
        <v>0</v>
      </c>
      <c r="AU88" s="68">
        <f t="shared" si="13"/>
        <v>0</v>
      </c>
      <c r="AV88" s="19">
        <f t="shared" si="14"/>
        <v>0</v>
      </c>
      <c r="AW88" s="69">
        <f t="shared" si="15"/>
        <v>0</v>
      </c>
      <c r="AY88" s="65">
        <f t="shared" si="16"/>
        <v>1</v>
      </c>
      <c r="AZ88" s="16">
        <f t="shared" si="17"/>
        <v>1</v>
      </c>
      <c r="BA88" s="16">
        <f t="shared" si="18"/>
        <v>1</v>
      </c>
      <c r="BB88" s="70">
        <f t="shared" si="19"/>
        <v>2860.11</v>
      </c>
      <c r="BC88" s="67">
        <f t="shared" si="20"/>
        <v>24291.75</v>
      </c>
      <c r="BD88" s="71">
        <f t="shared" si="21"/>
        <v>7.3</v>
      </c>
      <c r="BE88" s="19">
        <f t="shared" si="22"/>
        <v>5.5185984144234769E-3</v>
      </c>
      <c r="BF88" s="69">
        <f t="shared" si="23"/>
        <v>0</v>
      </c>
      <c r="BH88" s="72">
        <f t="shared" si="24"/>
        <v>24291.75</v>
      </c>
      <c r="BI88" s="73">
        <f t="shared" si="25"/>
        <v>1</v>
      </c>
      <c r="BJ88" s="74">
        <f t="shared" si="26"/>
        <v>2.1595830292636038E-3</v>
      </c>
      <c r="BK88" s="75">
        <f t="shared" si="27"/>
        <v>0</v>
      </c>
      <c r="BM88" s="76">
        <f t="shared" si="28"/>
        <v>1</v>
      </c>
    </row>
    <row r="89" spans="1:65" ht="12.75" customHeight="1" x14ac:dyDescent="0.2">
      <c r="A89" s="47"/>
      <c r="B89" s="48" t="s">
        <v>214</v>
      </c>
      <c r="C89" s="49">
        <v>20985.200000000001</v>
      </c>
      <c r="D89" s="50">
        <v>13</v>
      </c>
      <c r="E89" s="49">
        <v>20241.150000000001</v>
      </c>
      <c r="F89" s="50" t="s">
        <v>55</v>
      </c>
      <c r="G89" s="51">
        <v>40252</v>
      </c>
      <c r="H89" s="52" t="s">
        <v>56</v>
      </c>
      <c r="I89" s="51">
        <v>40540</v>
      </c>
      <c r="J89" s="52">
        <f t="shared" si="0"/>
        <v>9.6</v>
      </c>
      <c r="K89" s="53" t="s">
        <v>215</v>
      </c>
      <c r="L89" s="53">
        <v>23000</v>
      </c>
      <c r="M89" s="54">
        <v>870.81</v>
      </c>
      <c r="N89" s="54">
        <v>3439.3</v>
      </c>
      <c r="O89" s="54">
        <v>269.3</v>
      </c>
      <c r="P89" s="54">
        <f t="shared" si="33"/>
        <v>0</v>
      </c>
      <c r="Q89" s="54">
        <f t="shared" si="34"/>
        <v>1820.5600000000015</v>
      </c>
      <c r="R89" s="55">
        <f t="shared" si="3"/>
        <v>8.9943506174303411E-2</v>
      </c>
      <c r="S89" s="55">
        <f t="shared" si="4"/>
        <v>0.91005649382569653</v>
      </c>
      <c r="T89" s="56"/>
      <c r="V89" s="57"/>
      <c r="W89" s="58"/>
      <c r="X89" s="58"/>
      <c r="Y89" s="58"/>
      <c r="Z89" s="58"/>
      <c r="AA89" s="58"/>
      <c r="AB89" s="58">
        <f t="shared" si="5"/>
        <v>0</v>
      </c>
      <c r="AC89" s="58"/>
      <c r="AD89" s="59"/>
      <c r="AE89" s="60"/>
      <c r="AF89" s="61"/>
      <c r="AG89" s="59"/>
      <c r="AH89" s="60"/>
      <c r="AI89" s="62"/>
      <c r="AJ89" s="62">
        <f t="shared" si="6"/>
        <v>0</v>
      </c>
      <c r="AK89" s="63"/>
      <c r="AL89" s="64">
        <f t="shared" si="7"/>
        <v>0</v>
      </c>
      <c r="AP89" s="65">
        <f t="shared" si="8"/>
        <v>1</v>
      </c>
      <c r="AQ89" s="16">
        <f t="shared" si="9"/>
        <v>1</v>
      </c>
      <c r="AR89" s="16">
        <f t="shared" si="10"/>
        <v>1</v>
      </c>
      <c r="AS89" s="66">
        <f t="shared" si="11"/>
        <v>3708.6000000000004</v>
      </c>
      <c r="AT89" s="67">
        <f t="shared" si="12"/>
        <v>20241.150000000001</v>
      </c>
      <c r="AU89" s="68">
        <f t="shared" si="13"/>
        <v>9.6</v>
      </c>
      <c r="AV89" s="19">
        <f t="shared" si="14"/>
        <v>2.9563992617922378E-3</v>
      </c>
      <c r="AW89" s="69">
        <f t="shared" si="15"/>
        <v>2.659089152567162E-4</v>
      </c>
      <c r="AY89" s="65">
        <f t="shared" si="16"/>
        <v>0</v>
      </c>
      <c r="AZ89" s="16">
        <f t="shared" si="17"/>
        <v>1</v>
      </c>
      <c r="BA89" s="16">
        <f t="shared" si="18"/>
        <v>0</v>
      </c>
      <c r="BB89" s="70">
        <f t="shared" si="19"/>
        <v>0</v>
      </c>
      <c r="BC89" s="67">
        <f t="shared" si="20"/>
        <v>0</v>
      </c>
      <c r="BD89" s="71">
        <f t="shared" si="21"/>
        <v>0</v>
      </c>
      <c r="BE89" s="19">
        <f t="shared" si="22"/>
        <v>0</v>
      </c>
      <c r="BF89" s="69">
        <f t="shared" si="23"/>
        <v>0</v>
      </c>
      <c r="BH89" s="72">
        <f t="shared" si="24"/>
        <v>20241.150000000001</v>
      </c>
      <c r="BI89" s="73">
        <f t="shared" si="25"/>
        <v>1</v>
      </c>
      <c r="BJ89" s="74">
        <f t="shared" si="26"/>
        <v>1.7994769431094505E-3</v>
      </c>
      <c r="BK89" s="75">
        <f t="shared" si="27"/>
        <v>1.6185126554308149E-4</v>
      </c>
      <c r="BM89" s="76">
        <f t="shared" si="28"/>
        <v>1</v>
      </c>
    </row>
    <row r="90" spans="1:65" ht="12.75" customHeight="1" x14ac:dyDescent="0.2">
      <c r="A90" s="47"/>
      <c r="B90" s="48" t="s">
        <v>216</v>
      </c>
      <c r="C90" s="49">
        <v>20250</v>
      </c>
      <c r="D90" s="50">
        <v>13</v>
      </c>
      <c r="E90" s="49">
        <f>12975.9+6447.38</f>
        <v>19423.28</v>
      </c>
      <c r="F90" s="50" t="s">
        <v>63</v>
      </c>
      <c r="G90" s="51">
        <v>40298</v>
      </c>
      <c r="H90" s="52" t="s">
        <v>56</v>
      </c>
      <c r="I90" s="51">
        <v>40387</v>
      </c>
      <c r="J90" s="52">
        <f t="shared" si="0"/>
        <v>2.9666666666666668</v>
      </c>
      <c r="K90" s="53" t="s">
        <v>217</v>
      </c>
      <c r="L90" s="53">
        <v>34500</v>
      </c>
      <c r="M90" s="54">
        <v>341.49</v>
      </c>
      <c r="N90" s="54">
        <v>20</v>
      </c>
      <c r="O90" s="54">
        <v>620</v>
      </c>
      <c r="P90" s="54">
        <f t="shared" si="33"/>
        <v>0</v>
      </c>
      <c r="Q90" s="54">
        <f t="shared" si="34"/>
        <v>0</v>
      </c>
      <c r="R90" s="55">
        <f t="shared" si="3"/>
        <v>0</v>
      </c>
      <c r="S90" s="55">
        <f t="shared" si="4"/>
        <v>1</v>
      </c>
      <c r="T90" s="56"/>
      <c r="V90" s="57"/>
      <c r="W90" s="58"/>
      <c r="X90" s="58"/>
      <c r="Y90" s="58"/>
      <c r="Z90" s="58"/>
      <c r="AA90" s="58"/>
      <c r="AB90" s="58">
        <f t="shared" si="5"/>
        <v>0</v>
      </c>
      <c r="AC90" s="58"/>
      <c r="AD90" s="59"/>
      <c r="AE90" s="60"/>
      <c r="AF90" s="61"/>
      <c r="AG90" s="59"/>
      <c r="AH90" s="60"/>
      <c r="AI90" s="62"/>
      <c r="AJ90" s="62">
        <f t="shared" si="6"/>
        <v>0</v>
      </c>
      <c r="AK90" s="63"/>
      <c r="AL90" s="64">
        <f t="shared" si="7"/>
        <v>0</v>
      </c>
      <c r="AP90" s="65">
        <f t="shared" si="8"/>
        <v>0</v>
      </c>
      <c r="AQ90" s="16">
        <f t="shared" si="9"/>
        <v>1</v>
      </c>
      <c r="AR90" s="16">
        <f t="shared" si="10"/>
        <v>0</v>
      </c>
      <c r="AS90" s="66">
        <f t="shared" si="11"/>
        <v>0</v>
      </c>
      <c r="AT90" s="67">
        <f t="shared" si="12"/>
        <v>0</v>
      </c>
      <c r="AU90" s="68">
        <f t="shared" si="13"/>
        <v>0</v>
      </c>
      <c r="AV90" s="19">
        <f t="shared" si="14"/>
        <v>0</v>
      </c>
      <c r="AW90" s="69">
        <f t="shared" si="15"/>
        <v>0</v>
      </c>
      <c r="AY90" s="65">
        <f t="shared" si="16"/>
        <v>1</v>
      </c>
      <c r="AZ90" s="16">
        <f t="shared" si="17"/>
        <v>1</v>
      </c>
      <c r="BA90" s="16">
        <f t="shared" si="18"/>
        <v>1</v>
      </c>
      <c r="BB90" s="70">
        <f t="shared" si="19"/>
        <v>640</v>
      </c>
      <c r="BC90" s="67">
        <f t="shared" si="20"/>
        <v>19423.28</v>
      </c>
      <c r="BD90" s="71">
        <f t="shared" si="21"/>
        <v>2.9666666666666668</v>
      </c>
      <c r="BE90" s="19">
        <f t="shared" si="22"/>
        <v>4.4125796705014346E-3</v>
      </c>
      <c r="BF90" s="69">
        <f t="shared" si="23"/>
        <v>0</v>
      </c>
      <c r="BH90" s="72">
        <f t="shared" si="24"/>
        <v>19423.28</v>
      </c>
      <c r="BI90" s="73">
        <f t="shared" si="25"/>
        <v>1</v>
      </c>
      <c r="BJ90" s="74">
        <f t="shared" si="26"/>
        <v>1.7267667360579277E-3</v>
      </c>
      <c r="BK90" s="75">
        <f t="shared" si="27"/>
        <v>0</v>
      </c>
      <c r="BM90" s="76">
        <f t="shared" si="28"/>
        <v>1</v>
      </c>
    </row>
    <row r="91" spans="1:65" ht="12.75" customHeight="1" x14ac:dyDescent="0.2">
      <c r="A91" s="47"/>
      <c r="B91" s="48" t="s">
        <v>218</v>
      </c>
      <c r="C91" s="49">
        <v>19292.84</v>
      </c>
      <c r="D91" s="50">
        <v>13</v>
      </c>
      <c r="E91" s="49">
        <v>18470.259999999998</v>
      </c>
      <c r="F91" s="50" t="s">
        <v>63</v>
      </c>
      <c r="G91" s="51">
        <v>40298</v>
      </c>
      <c r="H91" s="52" t="s">
        <v>56</v>
      </c>
      <c r="I91" s="51">
        <v>40387</v>
      </c>
      <c r="J91" s="52">
        <f t="shared" si="0"/>
        <v>2.9666666666666668</v>
      </c>
      <c r="K91" s="53" t="s">
        <v>219</v>
      </c>
      <c r="L91" s="53">
        <v>23500</v>
      </c>
      <c r="M91" s="54">
        <v>242.81</v>
      </c>
      <c r="N91" s="54">
        <v>1742.3</v>
      </c>
      <c r="O91" s="54">
        <v>0</v>
      </c>
      <c r="P91" s="54">
        <f t="shared" si="33"/>
        <v>0</v>
      </c>
      <c r="Q91" s="54">
        <f t="shared" si="34"/>
        <v>0</v>
      </c>
      <c r="R91" s="55">
        <f t="shared" si="3"/>
        <v>0</v>
      </c>
      <c r="S91" s="55">
        <f t="shared" si="4"/>
        <v>1</v>
      </c>
      <c r="T91" s="56"/>
      <c r="V91" s="57"/>
      <c r="W91" s="58"/>
      <c r="X91" s="58"/>
      <c r="Y91" s="58"/>
      <c r="Z91" s="58"/>
      <c r="AA91" s="58"/>
      <c r="AB91" s="58">
        <f t="shared" si="5"/>
        <v>0</v>
      </c>
      <c r="AC91" s="58"/>
      <c r="AD91" s="59"/>
      <c r="AE91" s="60"/>
      <c r="AF91" s="61"/>
      <c r="AG91" s="59"/>
      <c r="AH91" s="60"/>
      <c r="AI91" s="62"/>
      <c r="AJ91" s="62">
        <f t="shared" si="6"/>
        <v>0</v>
      </c>
      <c r="AK91" s="63"/>
      <c r="AL91" s="64">
        <f t="shared" si="7"/>
        <v>0</v>
      </c>
      <c r="AP91" s="65">
        <f t="shared" si="8"/>
        <v>0</v>
      </c>
      <c r="AQ91" s="16">
        <f t="shared" si="9"/>
        <v>1</v>
      </c>
      <c r="AR91" s="16">
        <f t="shared" si="10"/>
        <v>0</v>
      </c>
      <c r="AS91" s="66">
        <f t="shared" si="11"/>
        <v>0</v>
      </c>
      <c r="AT91" s="67">
        <f t="shared" si="12"/>
        <v>0</v>
      </c>
      <c r="AU91" s="68">
        <f t="shared" si="13"/>
        <v>0</v>
      </c>
      <c r="AV91" s="19">
        <f t="shared" si="14"/>
        <v>0</v>
      </c>
      <c r="AW91" s="69">
        <f t="shared" si="15"/>
        <v>0</v>
      </c>
      <c r="AY91" s="65">
        <f t="shared" si="16"/>
        <v>1</v>
      </c>
      <c r="AZ91" s="16">
        <f t="shared" si="17"/>
        <v>1</v>
      </c>
      <c r="BA91" s="16">
        <f t="shared" si="18"/>
        <v>1</v>
      </c>
      <c r="BB91" s="70">
        <f t="shared" si="19"/>
        <v>1742.3</v>
      </c>
      <c r="BC91" s="67">
        <f t="shared" si="20"/>
        <v>18470.259999999998</v>
      </c>
      <c r="BD91" s="71">
        <f t="shared" si="21"/>
        <v>2.9666666666666668</v>
      </c>
      <c r="BE91" s="19">
        <f t="shared" si="22"/>
        <v>4.1960726398875894E-3</v>
      </c>
      <c r="BF91" s="69">
        <f t="shared" si="23"/>
        <v>0</v>
      </c>
      <c r="BH91" s="72">
        <f t="shared" si="24"/>
        <v>18470.259999999998</v>
      </c>
      <c r="BI91" s="73">
        <f t="shared" si="25"/>
        <v>1</v>
      </c>
      <c r="BJ91" s="74">
        <f t="shared" si="26"/>
        <v>1.6420414355526615E-3</v>
      </c>
      <c r="BK91" s="75">
        <f t="shared" si="27"/>
        <v>0</v>
      </c>
      <c r="BM91" s="76">
        <f t="shared" si="28"/>
        <v>1</v>
      </c>
    </row>
    <row r="92" spans="1:65" ht="12.75" customHeight="1" x14ac:dyDescent="0.2">
      <c r="A92" s="47"/>
      <c r="B92" s="48" t="s">
        <v>220</v>
      </c>
      <c r="C92" s="49">
        <v>30306.13</v>
      </c>
      <c r="D92" s="50">
        <v>13</v>
      </c>
      <c r="E92" s="49">
        <v>28242.1</v>
      </c>
      <c r="F92" s="50" t="s">
        <v>63</v>
      </c>
      <c r="G92" s="51">
        <v>40298</v>
      </c>
      <c r="H92" s="52" t="s">
        <v>56</v>
      </c>
      <c r="I92" s="51">
        <v>40421</v>
      </c>
      <c r="J92" s="52">
        <f t="shared" si="0"/>
        <v>4.0999999999999996</v>
      </c>
      <c r="K92" s="53" t="s">
        <v>221</v>
      </c>
      <c r="L92" s="53">
        <v>31000</v>
      </c>
      <c r="M92" s="54">
        <v>177.19</v>
      </c>
      <c r="N92" s="54">
        <v>0</v>
      </c>
      <c r="O92" s="54">
        <v>115</v>
      </c>
      <c r="P92" s="54">
        <f t="shared" si="33"/>
        <v>0</v>
      </c>
      <c r="Q92" s="54">
        <f t="shared" si="34"/>
        <v>0</v>
      </c>
      <c r="R92" s="55">
        <f t="shared" si="3"/>
        <v>0</v>
      </c>
      <c r="S92" s="55">
        <f t="shared" si="4"/>
        <v>1</v>
      </c>
      <c r="T92" s="56"/>
      <c r="V92" s="57"/>
      <c r="W92" s="58"/>
      <c r="X92" s="58"/>
      <c r="Y92" s="58"/>
      <c r="Z92" s="58"/>
      <c r="AA92" s="58"/>
      <c r="AB92" s="58">
        <f t="shared" si="5"/>
        <v>0</v>
      </c>
      <c r="AC92" s="58"/>
      <c r="AD92" s="59"/>
      <c r="AE92" s="60"/>
      <c r="AF92" s="61"/>
      <c r="AG92" s="59"/>
      <c r="AH92" s="60"/>
      <c r="AI92" s="62"/>
      <c r="AJ92" s="62">
        <f t="shared" si="6"/>
        <v>0</v>
      </c>
      <c r="AK92" s="63"/>
      <c r="AL92" s="64">
        <f t="shared" si="7"/>
        <v>0</v>
      </c>
      <c r="AP92" s="65">
        <f t="shared" si="8"/>
        <v>0</v>
      </c>
      <c r="AQ92" s="16">
        <f t="shared" si="9"/>
        <v>1</v>
      </c>
      <c r="AR92" s="16">
        <f t="shared" si="10"/>
        <v>0</v>
      </c>
      <c r="AS92" s="66">
        <f t="shared" si="11"/>
        <v>0</v>
      </c>
      <c r="AT92" s="67">
        <f t="shared" si="12"/>
        <v>0</v>
      </c>
      <c r="AU92" s="68">
        <f t="shared" si="13"/>
        <v>0</v>
      </c>
      <c r="AV92" s="19">
        <f t="shared" si="14"/>
        <v>0</v>
      </c>
      <c r="AW92" s="69">
        <f t="shared" si="15"/>
        <v>0</v>
      </c>
      <c r="AY92" s="65">
        <f t="shared" si="16"/>
        <v>1</v>
      </c>
      <c r="AZ92" s="16">
        <f t="shared" si="17"/>
        <v>1</v>
      </c>
      <c r="BA92" s="16">
        <f t="shared" si="18"/>
        <v>1</v>
      </c>
      <c r="BB92" s="70">
        <f t="shared" si="19"/>
        <v>115</v>
      </c>
      <c r="BC92" s="67">
        <f t="shared" si="20"/>
        <v>28242.1</v>
      </c>
      <c r="BD92" s="71">
        <f t="shared" si="21"/>
        <v>4.0999999999999996</v>
      </c>
      <c r="BE92" s="19">
        <f t="shared" si="22"/>
        <v>6.4160387077912984E-3</v>
      </c>
      <c r="BF92" s="69">
        <f t="shared" si="23"/>
        <v>0</v>
      </c>
      <c r="BH92" s="72">
        <f t="shared" si="24"/>
        <v>28242.1</v>
      </c>
      <c r="BI92" s="73">
        <f t="shared" si="25"/>
        <v>1</v>
      </c>
      <c r="BJ92" s="74">
        <f t="shared" si="26"/>
        <v>2.5107766987049356E-3</v>
      </c>
      <c r="BK92" s="75">
        <f t="shared" si="27"/>
        <v>0</v>
      </c>
      <c r="BM92" s="76">
        <f t="shared" si="28"/>
        <v>1</v>
      </c>
    </row>
    <row r="93" spans="1:65" ht="12.75" customHeight="1" x14ac:dyDescent="0.2">
      <c r="A93" s="47"/>
      <c r="B93" s="48" t="s">
        <v>222</v>
      </c>
      <c r="C93" s="49">
        <v>27949.25</v>
      </c>
      <c r="D93" s="50">
        <v>13</v>
      </c>
      <c r="E93" s="49">
        <v>26698.36</v>
      </c>
      <c r="F93" s="50" t="s">
        <v>63</v>
      </c>
      <c r="G93" s="51">
        <v>40298</v>
      </c>
      <c r="H93" s="52" t="s">
        <v>56</v>
      </c>
      <c r="I93" s="51">
        <v>40466</v>
      </c>
      <c r="J93" s="52">
        <f t="shared" si="0"/>
        <v>5.6</v>
      </c>
      <c r="K93" s="53" t="s">
        <v>223</v>
      </c>
      <c r="L93" s="53">
        <v>36500</v>
      </c>
      <c r="M93" s="54">
        <v>151.13999999999999</v>
      </c>
      <c r="N93" s="54">
        <v>0</v>
      </c>
      <c r="O93" s="54">
        <v>0</v>
      </c>
      <c r="P93" s="54">
        <f t="shared" si="33"/>
        <v>0</v>
      </c>
      <c r="Q93" s="54">
        <f t="shared" si="34"/>
        <v>0</v>
      </c>
      <c r="R93" s="55">
        <f t="shared" si="3"/>
        <v>0</v>
      </c>
      <c r="S93" s="55">
        <f t="shared" si="4"/>
        <v>1</v>
      </c>
      <c r="T93" s="56"/>
      <c r="V93" s="57"/>
      <c r="W93" s="58"/>
      <c r="X93" s="58"/>
      <c r="Y93" s="58"/>
      <c r="Z93" s="58"/>
      <c r="AA93" s="58"/>
      <c r="AB93" s="58">
        <f t="shared" si="5"/>
        <v>0</v>
      </c>
      <c r="AC93" s="58"/>
      <c r="AD93" s="59"/>
      <c r="AE93" s="60"/>
      <c r="AF93" s="61"/>
      <c r="AG93" s="59"/>
      <c r="AH93" s="60"/>
      <c r="AI93" s="62"/>
      <c r="AJ93" s="62">
        <f t="shared" si="6"/>
        <v>0</v>
      </c>
      <c r="AK93" s="63"/>
      <c r="AL93" s="64">
        <f t="shared" si="7"/>
        <v>0</v>
      </c>
      <c r="AP93" s="65">
        <f t="shared" si="8"/>
        <v>0</v>
      </c>
      <c r="AQ93" s="16">
        <f t="shared" si="9"/>
        <v>1</v>
      </c>
      <c r="AR93" s="16">
        <f t="shared" si="10"/>
        <v>0</v>
      </c>
      <c r="AS93" s="66">
        <f t="shared" si="11"/>
        <v>0</v>
      </c>
      <c r="AT93" s="67">
        <f t="shared" si="12"/>
        <v>0</v>
      </c>
      <c r="AU93" s="68">
        <f t="shared" si="13"/>
        <v>0</v>
      </c>
      <c r="AV93" s="19">
        <f t="shared" si="14"/>
        <v>0</v>
      </c>
      <c r="AW93" s="69">
        <f t="shared" si="15"/>
        <v>0</v>
      </c>
      <c r="AY93" s="65">
        <f t="shared" si="16"/>
        <v>1</v>
      </c>
      <c r="AZ93" s="16">
        <f t="shared" si="17"/>
        <v>1</v>
      </c>
      <c r="BA93" s="16">
        <f t="shared" si="18"/>
        <v>1</v>
      </c>
      <c r="BB93" s="70">
        <f t="shared" si="19"/>
        <v>0</v>
      </c>
      <c r="BC93" s="67">
        <f t="shared" si="20"/>
        <v>26698.36</v>
      </c>
      <c r="BD93" s="71">
        <f t="shared" si="21"/>
        <v>5.6</v>
      </c>
      <c r="BE93" s="19">
        <f t="shared" si="22"/>
        <v>6.0653319404203971E-3</v>
      </c>
      <c r="BF93" s="69">
        <f t="shared" si="23"/>
        <v>0</v>
      </c>
      <c r="BH93" s="72">
        <f t="shared" si="24"/>
        <v>26698.36</v>
      </c>
      <c r="BI93" s="73">
        <f t="shared" si="25"/>
        <v>1</v>
      </c>
      <c r="BJ93" s="74">
        <f t="shared" si="26"/>
        <v>2.3735352605378465E-3</v>
      </c>
      <c r="BK93" s="75">
        <f t="shared" si="27"/>
        <v>0</v>
      </c>
      <c r="BM93" s="76">
        <f t="shared" si="28"/>
        <v>1</v>
      </c>
    </row>
    <row r="94" spans="1:65" ht="12.75" customHeight="1" x14ac:dyDescent="0.2">
      <c r="A94" s="47"/>
      <c r="B94" s="48" t="s">
        <v>224</v>
      </c>
      <c r="C94" s="49">
        <v>19500</v>
      </c>
      <c r="D94" s="50">
        <v>13</v>
      </c>
      <c r="E94" s="49">
        <v>18719.98</v>
      </c>
      <c r="F94" s="50" t="s">
        <v>63</v>
      </c>
      <c r="G94" s="51">
        <v>40400</v>
      </c>
      <c r="H94" s="52" t="s">
        <v>56</v>
      </c>
      <c r="I94" s="51">
        <v>40542</v>
      </c>
      <c r="J94" s="52">
        <f t="shared" si="0"/>
        <v>4.7333333333333334</v>
      </c>
      <c r="K94" s="53" t="s">
        <v>225</v>
      </c>
      <c r="L94" s="53">
        <v>23000</v>
      </c>
      <c r="M94" s="54">
        <v>137.75</v>
      </c>
      <c r="N94" s="54"/>
      <c r="O94" s="54">
        <v>2265.83</v>
      </c>
      <c r="P94" s="54">
        <f t="shared" si="33"/>
        <v>0</v>
      </c>
      <c r="Q94" s="54">
        <f t="shared" si="34"/>
        <v>0</v>
      </c>
      <c r="R94" s="55">
        <f t="shared" si="3"/>
        <v>0</v>
      </c>
      <c r="S94" s="55">
        <f t="shared" si="4"/>
        <v>1</v>
      </c>
      <c r="T94" s="56"/>
      <c r="V94" s="57"/>
      <c r="W94" s="58"/>
      <c r="X94" s="58"/>
      <c r="Y94" s="58"/>
      <c r="Z94" s="58"/>
      <c r="AA94" s="58"/>
      <c r="AB94" s="58">
        <f t="shared" si="5"/>
        <v>0</v>
      </c>
      <c r="AC94" s="58"/>
      <c r="AD94" s="59"/>
      <c r="AE94" s="60"/>
      <c r="AF94" s="61"/>
      <c r="AG94" s="59"/>
      <c r="AH94" s="60"/>
      <c r="AI94" s="62"/>
      <c r="AJ94" s="62">
        <f t="shared" si="6"/>
        <v>0</v>
      </c>
      <c r="AK94" s="63"/>
      <c r="AL94" s="64">
        <f t="shared" si="7"/>
        <v>0</v>
      </c>
      <c r="AP94" s="65">
        <f t="shared" si="8"/>
        <v>0</v>
      </c>
      <c r="AQ94" s="16">
        <f t="shared" si="9"/>
        <v>1</v>
      </c>
      <c r="AR94" s="16">
        <f t="shared" si="10"/>
        <v>0</v>
      </c>
      <c r="AS94" s="66">
        <f t="shared" si="11"/>
        <v>0</v>
      </c>
      <c r="AT94" s="67">
        <f t="shared" si="12"/>
        <v>0</v>
      </c>
      <c r="AU94" s="68">
        <f t="shared" si="13"/>
        <v>0</v>
      </c>
      <c r="AV94" s="19">
        <f t="shared" si="14"/>
        <v>0</v>
      </c>
      <c r="AW94" s="69">
        <f t="shared" si="15"/>
        <v>0</v>
      </c>
      <c r="AY94" s="65">
        <f t="shared" si="16"/>
        <v>1</v>
      </c>
      <c r="AZ94" s="16">
        <f t="shared" si="17"/>
        <v>1</v>
      </c>
      <c r="BA94" s="16">
        <f t="shared" si="18"/>
        <v>1</v>
      </c>
      <c r="BB94" s="70">
        <f t="shared" si="19"/>
        <v>2265.83</v>
      </c>
      <c r="BC94" s="67">
        <f t="shared" si="20"/>
        <v>18719.98</v>
      </c>
      <c r="BD94" s="71">
        <f t="shared" si="21"/>
        <v>4.7333333333333334</v>
      </c>
      <c r="BE94" s="19">
        <f t="shared" si="22"/>
        <v>4.252804015603618E-3</v>
      </c>
      <c r="BF94" s="69">
        <f t="shared" si="23"/>
        <v>0</v>
      </c>
      <c r="BH94" s="72">
        <f t="shared" si="24"/>
        <v>18719.98</v>
      </c>
      <c r="BI94" s="73">
        <f t="shared" si="25"/>
        <v>1</v>
      </c>
      <c r="BJ94" s="74">
        <f t="shared" si="26"/>
        <v>1.6642420211040404E-3</v>
      </c>
      <c r="BK94" s="75">
        <f t="shared" si="27"/>
        <v>0</v>
      </c>
      <c r="BM94" s="76">
        <f t="shared" si="28"/>
        <v>1</v>
      </c>
    </row>
    <row r="95" spans="1:65" ht="12.75" customHeight="1" x14ac:dyDescent="0.2">
      <c r="A95" s="47"/>
      <c r="B95" s="48" t="s">
        <v>226</v>
      </c>
      <c r="C95" s="49">
        <v>27832.01</v>
      </c>
      <c r="D95" s="50">
        <v>13</v>
      </c>
      <c r="E95" s="49">
        <v>27392.97</v>
      </c>
      <c r="F95" s="50" t="s">
        <v>63</v>
      </c>
      <c r="G95" s="51">
        <v>40430</v>
      </c>
      <c r="H95" s="52" t="s">
        <v>56</v>
      </c>
      <c r="I95" s="51">
        <v>40509</v>
      </c>
      <c r="J95" s="52">
        <f t="shared" si="0"/>
        <v>2.6333333333333333</v>
      </c>
      <c r="K95" s="53" t="s">
        <v>180</v>
      </c>
      <c r="L95" s="53">
        <v>31567</v>
      </c>
      <c r="M95" s="54">
        <v>887.54</v>
      </c>
      <c r="N95" s="54">
        <v>3047.11</v>
      </c>
      <c r="O95" s="54">
        <v>1370.1299999999999</v>
      </c>
      <c r="P95" s="54">
        <v>0</v>
      </c>
      <c r="Q95" s="54">
        <f t="shared" si="34"/>
        <v>1130.7500000000011</v>
      </c>
      <c r="R95" s="55">
        <f t="shared" si="3"/>
        <v>4.1278839059802612E-2</v>
      </c>
      <c r="S95" s="55">
        <f t="shared" si="4"/>
        <v>0.95872116094019744</v>
      </c>
      <c r="T95" s="56"/>
      <c r="V95" s="57"/>
      <c r="W95" s="58"/>
      <c r="X95" s="58"/>
      <c r="Y95" s="58"/>
      <c r="Z95" s="58"/>
      <c r="AA95" s="58"/>
      <c r="AB95" s="58">
        <f t="shared" si="5"/>
        <v>0</v>
      </c>
      <c r="AC95" s="58"/>
      <c r="AD95" s="59"/>
      <c r="AE95" s="60"/>
      <c r="AF95" s="61"/>
      <c r="AG95" s="59"/>
      <c r="AH95" s="60"/>
      <c r="AI95" s="62"/>
      <c r="AJ95" s="62">
        <f t="shared" si="6"/>
        <v>0</v>
      </c>
      <c r="AK95" s="63"/>
      <c r="AL95" s="64">
        <f t="shared" si="7"/>
        <v>0</v>
      </c>
      <c r="AP95" s="65">
        <f t="shared" si="8"/>
        <v>0</v>
      </c>
      <c r="AQ95" s="16">
        <f t="shared" si="9"/>
        <v>1</v>
      </c>
      <c r="AR95" s="16">
        <f t="shared" si="10"/>
        <v>0</v>
      </c>
      <c r="AS95" s="66">
        <f t="shared" si="11"/>
        <v>0</v>
      </c>
      <c r="AT95" s="67">
        <f t="shared" si="12"/>
        <v>0</v>
      </c>
      <c r="AU95" s="68">
        <f t="shared" si="13"/>
        <v>0</v>
      </c>
      <c r="AV95" s="19">
        <f t="shared" si="14"/>
        <v>0</v>
      </c>
      <c r="AW95" s="69">
        <f t="shared" si="15"/>
        <v>0</v>
      </c>
      <c r="AY95" s="65">
        <f t="shared" si="16"/>
        <v>1</v>
      </c>
      <c r="AZ95" s="16">
        <f t="shared" si="17"/>
        <v>1</v>
      </c>
      <c r="BA95" s="16">
        <f t="shared" si="18"/>
        <v>1</v>
      </c>
      <c r="BB95" s="70">
        <f t="shared" si="19"/>
        <v>4417.24</v>
      </c>
      <c r="BC95" s="67">
        <f t="shared" si="20"/>
        <v>27392.97</v>
      </c>
      <c r="BD95" s="71">
        <f t="shared" si="21"/>
        <v>2.6333333333333333</v>
      </c>
      <c r="BE95" s="19">
        <f t="shared" si="22"/>
        <v>6.2231334016013612E-3</v>
      </c>
      <c r="BF95" s="69">
        <f t="shared" si="23"/>
        <v>2.5688372213238456E-4</v>
      </c>
      <c r="BH95" s="72">
        <f t="shared" si="24"/>
        <v>27392.97</v>
      </c>
      <c r="BI95" s="73">
        <f t="shared" si="25"/>
        <v>1</v>
      </c>
      <c r="BJ95" s="74">
        <f t="shared" si="26"/>
        <v>2.4352874178734355E-3</v>
      </c>
      <c r="BK95" s="75">
        <f t="shared" si="27"/>
        <v>1.0052583738675982E-4</v>
      </c>
      <c r="BM95" s="76">
        <f t="shared" si="28"/>
        <v>1</v>
      </c>
    </row>
    <row r="96" spans="1:65" ht="12.75" customHeight="1" x14ac:dyDescent="0.2">
      <c r="A96" s="47"/>
      <c r="B96" s="48" t="s">
        <v>227</v>
      </c>
      <c r="C96" s="49">
        <v>19570</v>
      </c>
      <c r="D96" s="50">
        <v>13</v>
      </c>
      <c r="E96" s="49">
        <v>18600.61</v>
      </c>
      <c r="F96" s="50" t="s">
        <v>63</v>
      </c>
      <c r="G96" s="51">
        <v>40431</v>
      </c>
      <c r="H96" s="52" t="s">
        <v>56</v>
      </c>
      <c r="I96" s="51">
        <v>40542</v>
      </c>
      <c r="J96" s="52">
        <f t="shared" si="0"/>
        <v>3.7</v>
      </c>
      <c r="K96" s="53" t="s">
        <v>180</v>
      </c>
      <c r="L96" s="53">
        <v>29266.71</v>
      </c>
      <c r="M96" s="54">
        <v>115.91</v>
      </c>
      <c r="N96" s="54">
        <v>56</v>
      </c>
      <c r="O96" s="54">
        <v>2599</v>
      </c>
      <c r="P96" s="54">
        <f t="shared" ref="P96:P119" si="35">IF(L96="N/A",0,IF(L96-E96&gt;0,0,E96-L96))</f>
        <v>0</v>
      </c>
      <c r="Q96" s="54">
        <f t="shared" si="34"/>
        <v>0</v>
      </c>
      <c r="R96" s="55">
        <f t="shared" si="3"/>
        <v>0</v>
      </c>
      <c r="S96" s="55">
        <f t="shared" si="4"/>
        <v>1</v>
      </c>
      <c r="T96" s="56"/>
      <c r="V96" s="57"/>
      <c r="W96" s="58"/>
      <c r="X96" s="58"/>
      <c r="Y96" s="58"/>
      <c r="Z96" s="58"/>
      <c r="AA96" s="58"/>
      <c r="AB96" s="58">
        <f t="shared" si="5"/>
        <v>0</v>
      </c>
      <c r="AC96" s="58"/>
      <c r="AD96" s="59"/>
      <c r="AE96" s="60"/>
      <c r="AF96" s="61"/>
      <c r="AG96" s="59"/>
      <c r="AH96" s="60"/>
      <c r="AI96" s="62"/>
      <c r="AJ96" s="62">
        <f t="shared" si="6"/>
        <v>0</v>
      </c>
      <c r="AK96" s="63"/>
      <c r="AL96" s="64">
        <f t="shared" si="7"/>
        <v>0</v>
      </c>
      <c r="AP96" s="65">
        <f t="shared" si="8"/>
        <v>0</v>
      </c>
      <c r="AQ96" s="16">
        <f t="shared" si="9"/>
        <v>1</v>
      </c>
      <c r="AR96" s="16">
        <f t="shared" si="10"/>
        <v>0</v>
      </c>
      <c r="AS96" s="66">
        <f t="shared" si="11"/>
        <v>0</v>
      </c>
      <c r="AT96" s="67">
        <f t="shared" si="12"/>
        <v>0</v>
      </c>
      <c r="AU96" s="68">
        <f t="shared" si="13"/>
        <v>0</v>
      </c>
      <c r="AV96" s="19">
        <f t="shared" si="14"/>
        <v>0</v>
      </c>
      <c r="AW96" s="69">
        <f t="shared" si="15"/>
        <v>0</v>
      </c>
      <c r="AY96" s="65">
        <f t="shared" si="16"/>
        <v>1</v>
      </c>
      <c r="AZ96" s="16">
        <f t="shared" si="17"/>
        <v>1</v>
      </c>
      <c r="BA96" s="16">
        <f t="shared" si="18"/>
        <v>1</v>
      </c>
      <c r="BB96" s="70">
        <f t="shared" si="19"/>
        <v>2655</v>
      </c>
      <c r="BC96" s="67">
        <f t="shared" si="20"/>
        <v>18600.61</v>
      </c>
      <c r="BD96" s="71">
        <f t="shared" si="21"/>
        <v>3.7</v>
      </c>
      <c r="BE96" s="19">
        <f t="shared" si="22"/>
        <v>4.2256855456403704E-3</v>
      </c>
      <c r="BF96" s="69">
        <f t="shared" si="23"/>
        <v>0</v>
      </c>
      <c r="BH96" s="72">
        <f t="shared" si="24"/>
        <v>18600.61</v>
      </c>
      <c r="BI96" s="73">
        <f t="shared" si="25"/>
        <v>1</v>
      </c>
      <c r="BJ96" s="74">
        <f t="shared" si="26"/>
        <v>1.6536297998271381E-3</v>
      </c>
      <c r="BK96" s="75">
        <f t="shared" si="27"/>
        <v>0</v>
      </c>
      <c r="BM96" s="76">
        <f t="shared" si="28"/>
        <v>1</v>
      </c>
    </row>
    <row r="97" spans="1:65" ht="12.75" customHeight="1" x14ac:dyDescent="0.2">
      <c r="A97" s="47"/>
      <c r="B97" s="48" t="s">
        <v>228</v>
      </c>
      <c r="C97" s="49">
        <v>50000</v>
      </c>
      <c r="D97" s="50">
        <v>13</v>
      </c>
      <c r="E97" s="49">
        <v>48132.99</v>
      </c>
      <c r="F97" s="50" t="s">
        <v>63</v>
      </c>
      <c r="G97" s="51">
        <v>40483</v>
      </c>
      <c r="H97" s="52" t="s">
        <v>56</v>
      </c>
      <c r="I97" s="51">
        <v>40705</v>
      </c>
      <c r="J97" s="52">
        <f t="shared" si="0"/>
        <v>7.4</v>
      </c>
      <c r="K97" s="53" t="s">
        <v>68</v>
      </c>
      <c r="L97" s="53">
        <v>64125</v>
      </c>
      <c r="M97" s="54">
        <v>4039.94</v>
      </c>
      <c r="N97" s="54"/>
      <c r="O97" s="54">
        <v>46.41</v>
      </c>
      <c r="P97" s="54">
        <f t="shared" si="35"/>
        <v>0</v>
      </c>
      <c r="Q97" s="54">
        <f t="shared" si="34"/>
        <v>0</v>
      </c>
      <c r="R97" s="55">
        <f t="shared" si="3"/>
        <v>0</v>
      </c>
      <c r="S97" s="55">
        <f t="shared" si="4"/>
        <v>1</v>
      </c>
      <c r="T97" s="56"/>
      <c r="V97" s="57"/>
      <c r="W97" s="58"/>
      <c r="X97" s="58"/>
      <c r="Y97" s="58"/>
      <c r="Z97" s="58"/>
      <c r="AA97" s="58"/>
      <c r="AB97" s="58">
        <f t="shared" si="5"/>
        <v>0</v>
      </c>
      <c r="AC97" s="58"/>
      <c r="AD97" s="59"/>
      <c r="AE97" s="60"/>
      <c r="AF97" s="61"/>
      <c r="AG97" s="59"/>
      <c r="AH97" s="60"/>
      <c r="AI97" s="62"/>
      <c r="AJ97" s="62">
        <f t="shared" si="6"/>
        <v>0</v>
      </c>
      <c r="AK97" s="63"/>
      <c r="AL97" s="64">
        <f t="shared" si="7"/>
        <v>0</v>
      </c>
      <c r="AP97" s="65">
        <f t="shared" si="8"/>
        <v>0</v>
      </c>
      <c r="AQ97" s="16">
        <f t="shared" si="9"/>
        <v>1</v>
      </c>
      <c r="AR97" s="16">
        <f t="shared" si="10"/>
        <v>0</v>
      </c>
      <c r="AS97" s="66">
        <f t="shared" si="11"/>
        <v>0</v>
      </c>
      <c r="AT97" s="67">
        <f t="shared" si="12"/>
        <v>0</v>
      </c>
      <c r="AU97" s="68">
        <f t="shared" si="13"/>
        <v>0</v>
      </c>
      <c r="AV97" s="19">
        <f t="shared" si="14"/>
        <v>0</v>
      </c>
      <c r="AW97" s="69">
        <f t="shared" si="15"/>
        <v>0</v>
      </c>
      <c r="AY97" s="65">
        <f t="shared" si="16"/>
        <v>1</v>
      </c>
      <c r="AZ97" s="16">
        <f t="shared" si="17"/>
        <v>1</v>
      </c>
      <c r="BA97" s="16">
        <f t="shared" si="18"/>
        <v>1</v>
      </c>
      <c r="BB97" s="70">
        <f t="shared" si="19"/>
        <v>46.41</v>
      </c>
      <c r="BC97" s="67">
        <f t="shared" si="20"/>
        <v>48132.99</v>
      </c>
      <c r="BD97" s="71">
        <f t="shared" si="21"/>
        <v>7.4</v>
      </c>
      <c r="BE97" s="19">
        <f t="shared" si="22"/>
        <v>1.0934849992094479E-2</v>
      </c>
      <c r="BF97" s="69">
        <f t="shared" si="23"/>
        <v>0</v>
      </c>
      <c r="BH97" s="72">
        <f t="shared" si="24"/>
        <v>48132.99</v>
      </c>
      <c r="BI97" s="73">
        <f t="shared" si="25"/>
        <v>1</v>
      </c>
      <c r="BJ97" s="74">
        <f t="shared" si="26"/>
        <v>4.2791148579956048E-3</v>
      </c>
      <c r="BK97" s="75">
        <f t="shared" si="27"/>
        <v>0</v>
      </c>
      <c r="BM97" s="76">
        <f t="shared" si="28"/>
        <v>1</v>
      </c>
    </row>
    <row r="98" spans="1:65" ht="12.75" customHeight="1" x14ac:dyDescent="0.2">
      <c r="A98" s="47"/>
      <c r="B98" s="48" t="s">
        <v>229</v>
      </c>
      <c r="C98" s="49">
        <v>14582.5</v>
      </c>
      <c r="D98" s="50">
        <v>13</v>
      </c>
      <c r="E98" s="49">
        <f>12829.76+377.72</f>
        <v>13207.48</v>
      </c>
      <c r="F98" s="50" t="s">
        <v>63</v>
      </c>
      <c r="G98" s="51">
        <v>40483</v>
      </c>
      <c r="H98" s="52" t="s">
        <v>56</v>
      </c>
      <c r="I98" s="51">
        <v>40786</v>
      </c>
      <c r="J98" s="52">
        <f t="shared" si="0"/>
        <v>10.1</v>
      </c>
      <c r="K98" s="53" t="s">
        <v>230</v>
      </c>
      <c r="L98" s="53">
        <v>21150</v>
      </c>
      <c r="M98" s="54">
        <v>43.55</v>
      </c>
      <c r="N98" s="54">
        <v>0</v>
      </c>
      <c r="O98" s="54">
        <v>4866.8</v>
      </c>
      <c r="P98" s="54">
        <f t="shared" si="35"/>
        <v>0</v>
      </c>
      <c r="Q98" s="54">
        <f t="shared" si="34"/>
        <v>0</v>
      </c>
      <c r="R98" s="55">
        <f t="shared" si="3"/>
        <v>0</v>
      </c>
      <c r="S98" s="55">
        <f t="shared" si="4"/>
        <v>1</v>
      </c>
      <c r="T98" s="56"/>
      <c r="V98" s="57"/>
      <c r="W98" s="58"/>
      <c r="X98" s="58"/>
      <c r="Y98" s="58"/>
      <c r="Z98" s="58"/>
      <c r="AA98" s="58"/>
      <c r="AB98" s="58">
        <f t="shared" si="5"/>
        <v>0</v>
      </c>
      <c r="AC98" s="58"/>
      <c r="AD98" s="59"/>
      <c r="AE98" s="60"/>
      <c r="AF98" s="61"/>
      <c r="AG98" s="59"/>
      <c r="AH98" s="60"/>
      <c r="AI98" s="62"/>
      <c r="AJ98" s="62">
        <f t="shared" si="6"/>
        <v>0</v>
      </c>
      <c r="AK98" s="63"/>
      <c r="AL98" s="64">
        <f t="shared" si="7"/>
        <v>0</v>
      </c>
      <c r="AP98" s="65">
        <f t="shared" si="8"/>
        <v>0</v>
      </c>
      <c r="AQ98" s="16">
        <f t="shared" si="9"/>
        <v>1</v>
      </c>
      <c r="AR98" s="16">
        <f t="shared" si="10"/>
        <v>0</v>
      </c>
      <c r="AS98" s="66">
        <f t="shared" si="11"/>
        <v>0</v>
      </c>
      <c r="AT98" s="67">
        <f t="shared" si="12"/>
        <v>0</v>
      </c>
      <c r="AU98" s="68">
        <f t="shared" si="13"/>
        <v>0</v>
      </c>
      <c r="AV98" s="19">
        <f t="shared" si="14"/>
        <v>0</v>
      </c>
      <c r="AW98" s="69">
        <f t="shared" si="15"/>
        <v>0</v>
      </c>
      <c r="AY98" s="65">
        <f t="shared" si="16"/>
        <v>1</v>
      </c>
      <c r="AZ98" s="16">
        <f t="shared" si="17"/>
        <v>1</v>
      </c>
      <c r="BA98" s="16">
        <f t="shared" si="18"/>
        <v>1</v>
      </c>
      <c r="BB98" s="70">
        <f t="shared" si="19"/>
        <v>4866.8</v>
      </c>
      <c r="BC98" s="67">
        <f t="shared" si="20"/>
        <v>13207.48</v>
      </c>
      <c r="BD98" s="71">
        <f t="shared" si="21"/>
        <v>10.1</v>
      </c>
      <c r="BE98" s="19">
        <f t="shared" si="22"/>
        <v>3.0004745720884573E-3</v>
      </c>
      <c r="BF98" s="69">
        <f t="shared" si="23"/>
        <v>0</v>
      </c>
      <c r="BH98" s="72">
        <f t="shared" si="24"/>
        <v>13207.48</v>
      </c>
      <c r="BI98" s="73">
        <f t="shared" si="25"/>
        <v>1</v>
      </c>
      <c r="BJ98" s="74">
        <f t="shared" si="26"/>
        <v>1.1741702292893043E-3</v>
      </c>
      <c r="BK98" s="75">
        <f t="shared" si="27"/>
        <v>0</v>
      </c>
      <c r="BM98" s="76">
        <f t="shared" si="28"/>
        <v>1</v>
      </c>
    </row>
    <row r="99" spans="1:65" ht="12.75" customHeight="1" x14ac:dyDescent="0.2">
      <c r="A99" s="47"/>
      <c r="B99" s="48" t="s">
        <v>231</v>
      </c>
      <c r="C99" s="49">
        <v>15855.5</v>
      </c>
      <c r="D99" s="50">
        <v>13</v>
      </c>
      <c r="E99" s="49">
        <v>13470.2</v>
      </c>
      <c r="F99" s="50" t="s">
        <v>63</v>
      </c>
      <c r="G99" s="51">
        <v>40505</v>
      </c>
      <c r="H99" s="52" t="s">
        <v>56</v>
      </c>
      <c r="I99" s="51">
        <v>40858</v>
      </c>
      <c r="J99" s="52">
        <f t="shared" si="0"/>
        <v>11.766666666666667</v>
      </c>
      <c r="K99" s="53" t="s">
        <v>232</v>
      </c>
      <c r="L99" s="53">
        <v>26000</v>
      </c>
      <c r="M99" s="54">
        <v>1581.6</v>
      </c>
      <c r="N99" s="54"/>
      <c r="O99" s="54">
        <v>4422.66</v>
      </c>
      <c r="P99" s="54">
        <f t="shared" si="35"/>
        <v>0</v>
      </c>
      <c r="Q99" s="54">
        <f t="shared" si="34"/>
        <v>0</v>
      </c>
      <c r="R99" s="55">
        <f t="shared" si="3"/>
        <v>0</v>
      </c>
      <c r="S99" s="55">
        <f t="shared" si="4"/>
        <v>1</v>
      </c>
      <c r="T99" s="56"/>
      <c r="V99" s="57"/>
      <c r="W99" s="58"/>
      <c r="X99" s="58"/>
      <c r="Y99" s="58"/>
      <c r="Z99" s="58"/>
      <c r="AA99" s="58"/>
      <c r="AB99" s="58">
        <f t="shared" si="5"/>
        <v>0</v>
      </c>
      <c r="AC99" s="58"/>
      <c r="AD99" s="59"/>
      <c r="AE99" s="60"/>
      <c r="AF99" s="61"/>
      <c r="AG99" s="59"/>
      <c r="AH99" s="60"/>
      <c r="AI99" s="62"/>
      <c r="AJ99" s="62">
        <f t="shared" si="6"/>
        <v>0</v>
      </c>
      <c r="AK99" s="63"/>
      <c r="AL99" s="64">
        <f t="shared" si="7"/>
        <v>0</v>
      </c>
      <c r="AP99" s="65">
        <f t="shared" si="8"/>
        <v>0</v>
      </c>
      <c r="AQ99" s="16">
        <f t="shared" si="9"/>
        <v>1</v>
      </c>
      <c r="AR99" s="16">
        <f t="shared" si="10"/>
        <v>0</v>
      </c>
      <c r="AS99" s="66">
        <f t="shared" si="11"/>
        <v>0</v>
      </c>
      <c r="AT99" s="67">
        <f t="shared" si="12"/>
        <v>0</v>
      </c>
      <c r="AU99" s="68">
        <f t="shared" si="13"/>
        <v>0</v>
      </c>
      <c r="AV99" s="19">
        <f t="shared" si="14"/>
        <v>0</v>
      </c>
      <c r="AW99" s="69">
        <f t="shared" si="15"/>
        <v>0</v>
      </c>
      <c r="AY99" s="65">
        <f t="shared" si="16"/>
        <v>1</v>
      </c>
      <c r="AZ99" s="16">
        <f t="shared" si="17"/>
        <v>1</v>
      </c>
      <c r="BA99" s="16">
        <f t="shared" si="18"/>
        <v>1</v>
      </c>
      <c r="BB99" s="70">
        <f t="shared" si="19"/>
        <v>4422.66</v>
      </c>
      <c r="BC99" s="67">
        <f t="shared" si="20"/>
        <v>13470.2</v>
      </c>
      <c r="BD99" s="71">
        <f t="shared" si="21"/>
        <v>11.766666666666667</v>
      </c>
      <c r="BE99" s="19">
        <f t="shared" si="22"/>
        <v>3.0601592870817098E-3</v>
      </c>
      <c r="BF99" s="69">
        <f t="shared" si="23"/>
        <v>0</v>
      </c>
      <c r="BH99" s="72">
        <f t="shared" si="24"/>
        <v>13470.2</v>
      </c>
      <c r="BI99" s="73">
        <f t="shared" si="25"/>
        <v>1</v>
      </c>
      <c r="BJ99" s="74">
        <f t="shared" si="26"/>
        <v>1.1975265397011989E-3</v>
      </c>
      <c r="BK99" s="75">
        <f t="shared" si="27"/>
        <v>0</v>
      </c>
      <c r="BM99" s="76">
        <f t="shared" si="28"/>
        <v>1</v>
      </c>
    </row>
    <row r="100" spans="1:65" ht="12.75" customHeight="1" x14ac:dyDescent="0.2">
      <c r="A100" s="47"/>
      <c r="B100" s="48" t="s">
        <v>233</v>
      </c>
      <c r="C100" s="49">
        <v>16320</v>
      </c>
      <c r="D100" s="50">
        <v>12</v>
      </c>
      <c r="E100" s="49">
        <v>14635.99</v>
      </c>
      <c r="F100" s="50" t="s">
        <v>63</v>
      </c>
      <c r="G100" s="51">
        <v>40543</v>
      </c>
      <c r="H100" s="52" t="s">
        <v>56</v>
      </c>
      <c r="I100" s="51">
        <v>40705</v>
      </c>
      <c r="J100" s="52">
        <f t="shared" si="0"/>
        <v>5.4</v>
      </c>
      <c r="K100" s="53" t="s">
        <v>180</v>
      </c>
      <c r="L100" s="53">
        <v>30000</v>
      </c>
      <c r="M100" s="54">
        <v>331.11</v>
      </c>
      <c r="N100" s="54"/>
      <c r="O100" s="54">
        <v>180.92</v>
      </c>
      <c r="P100" s="54">
        <f t="shared" si="35"/>
        <v>0</v>
      </c>
      <c r="Q100" s="54">
        <f t="shared" si="34"/>
        <v>0</v>
      </c>
      <c r="R100" s="55">
        <f t="shared" si="3"/>
        <v>0</v>
      </c>
      <c r="S100" s="55">
        <f t="shared" si="4"/>
        <v>1</v>
      </c>
      <c r="T100" s="56"/>
      <c r="V100" s="57"/>
      <c r="W100" s="58"/>
      <c r="X100" s="58"/>
      <c r="Y100" s="58"/>
      <c r="Z100" s="58"/>
      <c r="AA100" s="58"/>
      <c r="AB100" s="58">
        <f t="shared" si="5"/>
        <v>0</v>
      </c>
      <c r="AC100" s="58"/>
      <c r="AD100" s="59"/>
      <c r="AE100" s="60"/>
      <c r="AF100" s="61"/>
      <c r="AG100" s="59"/>
      <c r="AH100" s="60"/>
      <c r="AI100" s="62"/>
      <c r="AJ100" s="62">
        <f t="shared" si="6"/>
        <v>0</v>
      </c>
      <c r="AK100" s="63"/>
      <c r="AL100" s="64">
        <f t="shared" si="7"/>
        <v>0</v>
      </c>
      <c r="AP100" s="65">
        <f t="shared" si="8"/>
        <v>0</v>
      </c>
      <c r="AQ100" s="16">
        <f t="shared" si="9"/>
        <v>1</v>
      </c>
      <c r="AR100" s="16">
        <f t="shared" si="10"/>
        <v>0</v>
      </c>
      <c r="AS100" s="66">
        <f t="shared" si="11"/>
        <v>0</v>
      </c>
      <c r="AT100" s="67">
        <f t="shared" si="12"/>
        <v>0</v>
      </c>
      <c r="AU100" s="68">
        <f t="shared" si="13"/>
        <v>0</v>
      </c>
      <c r="AV100" s="19">
        <f t="shared" si="14"/>
        <v>0</v>
      </c>
      <c r="AW100" s="69">
        <f t="shared" si="15"/>
        <v>0</v>
      </c>
      <c r="AY100" s="65">
        <f t="shared" si="16"/>
        <v>1</v>
      </c>
      <c r="AZ100" s="16">
        <f t="shared" si="17"/>
        <v>1</v>
      </c>
      <c r="BA100" s="16">
        <f t="shared" si="18"/>
        <v>1</v>
      </c>
      <c r="BB100" s="70">
        <f t="shared" si="19"/>
        <v>180.92</v>
      </c>
      <c r="BC100" s="67">
        <f t="shared" si="20"/>
        <v>14635.99</v>
      </c>
      <c r="BD100" s="71">
        <f t="shared" si="21"/>
        <v>5.4</v>
      </c>
      <c r="BE100" s="19">
        <f t="shared" si="22"/>
        <v>3.3250033944659343E-3</v>
      </c>
      <c r="BF100" s="69">
        <f t="shared" si="23"/>
        <v>0</v>
      </c>
      <c r="BH100" s="72">
        <f t="shared" si="24"/>
        <v>14635.99</v>
      </c>
      <c r="BI100" s="73">
        <f t="shared" si="25"/>
        <v>1</v>
      </c>
      <c r="BJ100" s="74">
        <f t="shared" si="26"/>
        <v>1.3011675000966093E-3</v>
      </c>
      <c r="BK100" s="75">
        <f t="shared" si="27"/>
        <v>0</v>
      </c>
      <c r="BM100" s="76">
        <f t="shared" si="28"/>
        <v>1</v>
      </c>
    </row>
    <row r="101" spans="1:65" ht="12.75" customHeight="1" x14ac:dyDescent="0.2">
      <c r="A101" s="47"/>
      <c r="B101" s="48" t="s">
        <v>234</v>
      </c>
      <c r="C101" s="49">
        <v>15085.98</v>
      </c>
      <c r="D101" s="50">
        <v>13</v>
      </c>
      <c r="E101" s="49">
        <f>12981.99+1474.58</f>
        <v>14456.57</v>
      </c>
      <c r="F101" s="50" t="s">
        <v>63</v>
      </c>
      <c r="G101" s="51">
        <v>40543</v>
      </c>
      <c r="H101" s="52" t="s">
        <v>56</v>
      </c>
      <c r="I101" s="51">
        <v>40735</v>
      </c>
      <c r="J101" s="52">
        <f t="shared" si="0"/>
        <v>6.4</v>
      </c>
      <c r="K101" s="53" t="s">
        <v>180</v>
      </c>
      <c r="L101" s="53">
        <v>24300</v>
      </c>
      <c r="M101" s="54">
        <v>0</v>
      </c>
      <c r="N101" s="54"/>
      <c r="O101" s="54">
        <v>1975.39</v>
      </c>
      <c r="P101" s="54">
        <f t="shared" si="35"/>
        <v>0</v>
      </c>
      <c r="Q101" s="54">
        <f t="shared" si="34"/>
        <v>0</v>
      </c>
      <c r="R101" s="55">
        <f t="shared" si="3"/>
        <v>0</v>
      </c>
      <c r="S101" s="55">
        <f t="shared" si="4"/>
        <v>1</v>
      </c>
      <c r="T101" s="56"/>
      <c r="V101" s="57"/>
      <c r="W101" s="58"/>
      <c r="X101" s="58"/>
      <c r="Y101" s="58"/>
      <c r="Z101" s="58"/>
      <c r="AA101" s="58"/>
      <c r="AB101" s="58">
        <f t="shared" si="5"/>
        <v>0</v>
      </c>
      <c r="AC101" s="58"/>
      <c r="AD101" s="59"/>
      <c r="AE101" s="60"/>
      <c r="AF101" s="61"/>
      <c r="AG101" s="59"/>
      <c r="AH101" s="60"/>
      <c r="AI101" s="62"/>
      <c r="AJ101" s="62">
        <f t="shared" si="6"/>
        <v>0</v>
      </c>
      <c r="AK101" s="63"/>
      <c r="AL101" s="64">
        <f t="shared" si="7"/>
        <v>0</v>
      </c>
      <c r="AP101" s="65">
        <f t="shared" si="8"/>
        <v>0</v>
      </c>
      <c r="AQ101" s="16">
        <f t="shared" si="9"/>
        <v>1</v>
      </c>
      <c r="AR101" s="16">
        <f t="shared" si="10"/>
        <v>0</v>
      </c>
      <c r="AS101" s="66">
        <f t="shared" si="11"/>
        <v>0</v>
      </c>
      <c r="AT101" s="67">
        <f t="shared" si="12"/>
        <v>0</v>
      </c>
      <c r="AU101" s="68">
        <f t="shared" si="13"/>
        <v>0</v>
      </c>
      <c r="AV101" s="19">
        <f t="shared" si="14"/>
        <v>0</v>
      </c>
      <c r="AW101" s="69">
        <f t="shared" si="15"/>
        <v>0</v>
      </c>
      <c r="AY101" s="65">
        <f t="shared" si="16"/>
        <v>1</v>
      </c>
      <c r="AZ101" s="16">
        <f t="shared" si="17"/>
        <v>1</v>
      </c>
      <c r="BA101" s="16">
        <f t="shared" si="18"/>
        <v>1</v>
      </c>
      <c r="BB101" s="70">
        <f t="shared" si="19"/>
        <v>1975.39</v>
      </c>
      <c r="BC101" s="67">
        <f t="shared" si="20"/>
        <v>14456.57</v>
      </c>
      <c r="BD101" s="71">
        <f t="shared" si="21"/>
        <v>6.4</v>
      </c>
      <c r="BE101" s="19">
        <f t="shared" si="22"/>
        <v>3.2842427688413557E-3</v>
      </c>
      <c r="BF101" s="69">
        <f t="shared" si="23"/>
        <v>0</v>
      </c>
      <c r="BH101" s="72">
        <f t="shared" si="24"/>
        <v>14456.57</v>
      </c>
      <c r="BI101" s="73">
        <f t="shared" si="25"/>
        <v>1</v>
      </c>
      <c r="BJ101" s="74">
        <f t="shared" si="26"/>
        <v>1.2852167189832489E-3</v>
      </c>
      <c r="BK101" s="75">
        <f t="shared" si="27"/>
        <v>0</v>
      </c>
      <c r="BM101" s="76">
        <f t="shared" si="28"/>
        <v>1</v>
      </c>
    </row>
    <row r="102" spans="1:65" ht="12.75" customHeight="1" x14ac:dyDescent="0.2">
      <c r="A102" s="47"/>
      <c r="B102" s="48" t="s">
        <v>235</v>
      </c>
      <c r="C102" s="49">
        <v>19130</v>
      </c>
      <c r="D102" s="50">
        <v>6</v>
      </c>
      <c r="E102" s="49">
        <v>18428.66</v>
      </c>
      <c r="F102" s="50" t="s">
        <v>55</v>
      </c>
      <c r="G102" s="51">
        <v>40574</v>
      </c>
      <c r="H102" s="52" t="s">
        <v>56</v>
      </c>
      <c r="I102" s="51">
        <v>40905</v>
      </c>
      <c r="J102" s="52">
        <f t="shared" si="0"/>
        <v>11.033333333333333</v>
      </c>
      <c r="K102" s="53" t="s">
        <v>180</v>
      </c>
      <c r="L102" s="53">
        <v>28500</v>
      </c>
      <c r="M102" s="54">
        <v>5720.44</v>
      </c>
      <c r="N102" s="54">
        <v>3515.0899999999997</v>
      </c>
      <c r="O102" s="54">
        <v>704.8</v>
      </c>
      <c r="P102" s="54">
        <f t="shared" si="35"/>
        <v>0</v>
      </c>
      <c r="Q102" s="54">
        <f t="shared" si="34"/>
        <v>0</v>
      </c>
      <c r="R102" s="55">
        <f t="shared" si="3"/>
        <v>0</v>
      </c>
      <c r="S102" s="55">
        <f t="shared" si="4"/>
        <v>1</v>
      </c>
      <c r="T102" s="56"/>
      <c r="V102" s="57"/>
      <c r="W102" s="58"/>
      <c r="X102" s="58"/>
      <c r="Y102" s="58"/>
      <c r="Z102" s="58"/>
      <c r="AA102" s="58"/>
      <c r="AB102" s="58">
        <f t="shared" si="5"/>
        <v>0</v>
      </c>
      <c r="AC102" s="58"/>
      <c r="AD102" s="59"/>
      <c r="AE102" s="60"/>
      <c r="AF102" s="61"/>
      <c r="AG102" s="59"/>
      <c r="AH102" s="60"/>
      <c r="AI102" s="62"/>
      <c r="AJ102" s="62">
        <f t="shared" si="6"/>
        <v>0</v>
      </c>
      <c r="AK102" s="63"/>
      <c r="AL102" s="64">
        <f t="shared" si="7"/>
        <v>0</v>
      </c>
      <c r="AP102" s="65">
        <f t="shared" si="8"/>
        <v>1</v>
      </c>
      <c r="AQ102" s="16">
        <f t="shared" si="9"/>
        <v>1</v>
      </c>
      <c r="AR102" s="16">
        <f t="shared" si="10"/>
        <v>1</v>
      </c>
      <c r="AS102" s="66">
        <f t="shared" si="11"/>
        <v>4219.8899999999994</v>
      </c>
      <c r="AT102" s="67">
        <f t="shared" si="12"/>
        <v>18428.66</v>
      </c>
      <c r="AU102" s="68">
        <f t="shared" si="13"/>
        <v>11.033333333333333</v>
      </c>
      <c r="AV102" s="19">
        <f t="shared" si="14"/>
        <v>2.6916690415228453E-3</v>
      </c>
      <c r="AW102" s="69">
        <f t="shared" si="15"/>
        <v>0</v>
      </c>
      <c r="AY102" s="65">
        <f t="shared" si="16"/>
        <v>0</v>
      </c>
      <c r="AZ102" s="16">
        <f t="shared" si="17"/>
        <v>1</v>
      </c>
      <c r="BA102" s="16">
        <f t="shared" si="18"/>
        <v>0</v>
      </c>
      <c r="BB102" s="70">
        <f t="shared" si="19"/>
        <v>0</v>
      </c>
      <c r="BC102" s="67">
        <f t="shared" si="20"/>
        <v>0</v>
      </c>
      <c r="BD102" s="71">
        <f t="shared" si="21"/>
        <v>0</v>
      </c>
      <c r="BE102" s="19">
        <f t="shared" si="22"/>
        <v>0</v>
      </c>
      <c r="BF102" s="69">
        <f t="shared" si="23"/>
        <v>0</v>
      </c>
      <c r="BH102" s="72">
        <f t="shared" si="24"/>
        <v>18428.66</v>
      </c>
      <c r="BI102" s="73">
        <f t="shared" si="25"/>
        <v>1</v>
      </c>
      <c r="BJ102" s="74">
        <f t="shared" si="26"/>
        <v>1.638343115999012E-3</v>
      </c>
      <c r="BK102" s="75">
        <f t="shared" si="27"/>
        <v>0</v>
      </c>
      <c r="BM102" s="76">
        <f t="shared" si="28"/>
        <v>1</v>
      </c>
    </row>
    <row r="103" spans="1:65" ht="12.75" customHeight="1" x14ac:dyDescent="0.2">
      <c r="A103" s="47"/>
      <c r="B103" s="48" t="s">
        <v>236</v>
      </c>
      <c r="C103" s="49">
        <v>20400</v>
      </c>
      <c r="D103" s="50">
        <v>13</v>
      </c>
      <c r="E103" s="49">
        <f>14099.7+5428.88</f>
        <v>19528.580000000002</v>
      </c>
      <c r="F103" s="50" t="s">
        <v>63</v>
      </c>
      <c r="G103" s="51">
        <v>40613</v>
      </c>
      <c r="H103" s="52" t="s">
        <v>56</v>
      </c>
      <c r="I103" s="51">
        <v>40704</v>
      </c>
      <c r="J103" s="52">
        <f t="shared" si="0"/>
        <v>3.0333333333333332</v>
      </c>
      <c r="K103" s="53" t="s">
        <v>180</v>
      </c>
      <c r="L103" s="53">
        <v>28500</v>
      </c>
      <c r="M103" s="54">
        <v>425.58</v>
      </c>
      <c r="N103" s="54">
        <v>0</v>
      </c>
      <c r="O103" s="54">
        <v>1668</v>
      </c>
      <c r="P103" s="54">
        <f t="shared" si="35"/>
        <v>0</v>
      </c>
      <c r="Q103" s="54">
        <f t="shared" si="34"/>
        <v>0</v>
      </c>
      <c r="R103" s="55">
        <f t="shared" si="3"/>
        <v>0</v>
      </c>
      <c r="S103" s="55">
        <f t="shared" si="4"/>
        <v>1</v>
      </c>
      <c r="T103" s="56"/>
      <c r="V103" s="57"/>
      <c r="W103" s="58"/>
      <c r="X103" s="58"/>
      <c r="Y103" s="58"/>
      <c r="Z103" s="58"/>
      <c r="AA103" s="58"/>
      <c r="AB103" s="58">
        <f t="shared" si="5"/>
        <v>0</v>
      </c>
      <c r="AC103" s="58"/>
      <c r="AD103" s="59"/>
      <c r="AE103" s="60"/>
      <c r="AF103" s="61"/>
      <c r="AG103" s="59"/>
      <c r="AH103" s="60"/>
      <c r="AI103" s="62"/>
      <c r="AJ103" s="62">
        <f t="shared" si="6"/>
        <v>0</v>
      </c>
      <c r="AK103" s="63"/>
      <c r="AL103" s="64">
        <f t="shared" si="7"/>
        <v>0</v>
      </c>
      <c r="AP103" s="65">
        <f t="shared" si="8"/>
        <v>0</v>
      </c>
      <c r="AQ103" s="16">
        <f t="shared" si="9"/>
        <v>1</v>
      </c>
      <c r="AR103" s="16">
        <f t="shared" si="10"/>
        <v>0</v>
      </c>
      <c r="AS103" s="66">
        <f t="shared" si="11"/>
        <v>0</v>
      </c>
      <c r="AT103" s="67">
        <f t="shared" si="12"/>
        <v>0</v>
      </c>
      <c r="AU103" s="68">
        <f t="shared" si="13"/>
        <v>0</v>
      </c>
      <c r="AV103" s="19">
        <f t="shared" si="14"/>
        <v>0</v>
      </c>
      <c r="AW103" s="69">
        <f t="shared" si="15"/>
        <v>0</v>
      </c>
      <c r="AY103" s="65">
        <f t="shared" si="16"/>
        <v>1</v>
      </c>
      <c r="AZ103" s="16">
        <f t="shared" si="17"/>
        <v>1</v>
      </c>
      <c r="BA103" s="16">
        <f t="shared" si="18"/>
        <v>1</v>
      </c>
      <c r="BB103" s="70">
        <f t="shared" si="19"/>
        <v>1668</v>
      </c>
      <c r="BC103" s="67">
        <f t="shared" si="20"/>
        <v>19528.580000000002</v>
      </c>
      <c r="BD103" s="71">
        <f t="shared" si="21"/>
        <v>3.0333333333333332</v>
      </c>
      <c r="BE103" s="19">
        <f t="shared" si="22"/>
        <v>4.4365017186469491E-3</v>
      </c>
      <c r="BF103" s="69">
        <f t="shared" si="23"/>
        <v>0</v>
      </c>
      <c r="BH103" s="72">
        <f t="shared" si="24"/>
        <v>19528.580000000002</v>
      </c>
      <c r="BI103" s="73">
        <f t="shared" si="25"/>
        <v>1</v>
      </c>
      <c r="BJ103" s="74">
        <f t="shared" si="26"/>
        <v>1.7361281074281033E-3</v>
      </c>
      <c r="BK103" s="75">
        <f t="shared" si="27"/>
        <v>0</v>
      </c>
      <c r="BM103" s="76">
        <f t="shared" si="28"/>
        <v>1</v>
      </c>
    </row>
    <row r="104" spans="1:65" ht="12.75" customHeight="1" x14ac:dyDescent="0.2">
      <c r="A104" s="47"/>
      <c r="B104" s="48" t="s">
        <v>237</v>
      </c>
      <c r="C104" s="49">
        <v>14230</v>
      </c>
      <c r="D104" s="50">
        <v>13</v>
      </c>
      <c r="E104" s="49">
        <v>11099.43</v>
      </c>
      <c r="F104" s="50" t="s">
        <v>63</v>
      </c>
      <c r="G104" s="51">
        <v>40613</v>
      </c>
      <c r="H104" s="52" t="s">
        <v>56</v>
      </c>
      <c r="I104" s="51">
        <v>40858</v>
      </c>
      <c r="J104" s="52">
        <f t="shared" si="0"/>
        <v>8.1666666666666661</v>
      </c>
      <c r="K104" s="53" t="s">
        <v>180</v>
      </c>
      <c r="L104" s="53">
        <v>30000</v>
      </c>
      <c r="M104" s="54">
        <v>510.87</v>
      </c>
      <c r="N104" s="54">
        <v>150</v>
      </c>
      <c r="O104" s="54">
        <v>70</v>
      </c>
      <c r="P104" s="54">
        <f t="shared" si="35"/>
        <v>0</v>
      </c>
      <c r="Q104" s="54">
        <f t="shared" si="34"/>
        <v>0</v>
      </c>
      <c r="R104" s="55">
        <f t="shared" si="3"/>
        <v>0</v>
      </c>
      <c r="S104" s="55">
        <f t="shared" si="4"/>
        <v>1</v>
      </c>
      <c r="T104" s="56"/>
      <c r="V104" s="57"/>
      <c r="W104" s="58"/>
      <c r="X104" s="58"/>
      <c r="Y104" s="58"/>
      <c r="Z104" s="58"/>
      <c r="AA104" s="58"/>
      <c r="AB104" s="58">
        <f t="shared" si="5"/>
        <v>0</v>
      </c>
      <c r="AC104" s="58"/>
      <c r="AD104" s="59"/>
      <c r="AE104" s="60"/>
      <c r="AF104" s="61"/>
      <c r="AG104" s="59"/>
      <c r="AH104" s="60"/>
      <c r="AI104" s="62"/>
      <c r="AJ104" s="62">
        <f t="shared" si="6"/>
        <v>0</v>
      </c>
      <c r="AK104" s="63"/>
      <c r="AL104" s="64">
        <f t="shared" si="7"/>
        <v>0</v>
      </c>
      <c r="AP104" s="65">
        <f t="shared" si="8"/>
        <v>0</v>
      </c>
      <c r="AQ104" s="16">
        <f t="shared" si="9"/>
        <v>1</v>
      </c>
      <c r="AR104" s="16">
        <f t="shared" si="10"/>
        <v>0</v>
      </c>
      <c r="AS104" s="66">
        <f t="shared" si="11"/>
        <v>0</v>
      </c>
      <c r="AT104" s="67">
        <f t="shared" si="12"/>
        <v>0</v>
      </c>
      <c r="AU104" s="68">
        <f t="shared" si="13"/>
        <v>0</v>
      </c>
      <c r="AV104" s="19">
        <f t="shared" si="14"/>
        <v>0</v>
      </c>
      <c r="AW104" s="69">
        <f t="shared" si="15"/>
        <v>0</v>
      </c>
      <c r="AY104" s="65">
        <f t="shared" si="16"/>
        <v>1</v>
      </c>
      <c r="AZ104" s="16">
        <f t="shared" si="17"/>
        <v>1</v>
      </c>
      <c r="BA104" s="16">
        <f t="shared" si="18"/>
        <v>1</v>
      </c>
      <c r="BB104" s="70">
        <f t="shared" si="19"/>
        <v>220</v>
      </c>
      <c r="BC104" s="67">
        <f t="shared" si="20"/>
        <v>11099.43</v>
      </c>
      <c r="BD104" s="71">
        <f t="shared" si="21"/>
        <v>8.1666666666666661</v>
      </c>
      <c r="BE104" s="19">
        <f t="shared" si="22"/>
        <v>2.5215678902921514E-3</v>
      </c>
      <c r="BF104" s="69">
        <f t="shared" si="23"/>
        <v>0</v>
      </c>
      <c r="BH104" s="72">
        <f t="shared" si="24"/>
        <v>11099.43</v>
      </c>
      <c r="BI104" s="73">
        <f t="shared" si="25"/>
        <v>1</v>
      </c>
      <c r="BJ104" s="74">
        <f t="shared" si="26"/>
        <v>9.8676055296548497E-4</v>
      </c>
      <c r="BK104" s="75">
        <f t="shared" si="27"/>
        <v>0</v>
      </c>
      <c r="BM104" s="76">
        <f t="shared" si="28"/>
        <v>1</v>
      </c>
    </row>
    <row r="105" spans="1:65" ht="12.75" customHeight="1" x14ac:dyDescent="0.2">
      <c r="A105" s="47"/>
      <c r="B105" s="48" t="s">
        <v>238</v>
      </c>
      <c r="C105" s="49">
        <v>29250.85</v>
      </c>
      <c r="D105" s="50">
        <v>13</v>
      </c>
      <c r="E105" s="49">
        <f>9789.16+18480.26</f>
        <v>28269.42</v>
      </c>
      <c r="F105" s="50" t="s">
        <v>63</v>
      </c>
      <c r="G105" s="51">
        <v>40613</v>
      </c>
      <c r="H105" s="52" t="s">
        <v>56</v>
      </c>
      <c r="I105" s="51">
        <v>41029</v>
      </c>
      <c r="J105" s="52">
        <f t="shared" si="0"/>
        <v>13.866666666666667</v>
      </c>
      <c r="K105" s="53" t="s">
        <v>180</v>
      </c>
      <c r="L105" s="53">
        <v>40000</v>
      </c>
      <c r="M105" s="54">
        <v>1297.93</v>
      </c>
      <c r="N105" s="54">
        <v>150</v>
      </c>
      <c r="O105" s="54">
        <v>0</v>
      </c>
      <c r="P105" s="54">
        <f t="shared" si="35"/>
        <v>0</v>
      </c>
      <c r="Q105" s="54">
        <f t="shared" si="34"/>
        <v>0</v>
      </c>
      <c r="R105" s="55">
        <f t="shared" si="3"/>
        <v>0</v>
      </c>
      <c r="S105" s="55">
        <f t="shared" si="4"/>
        <v>1</v>
      </c>
      <c r="T105" s="56"/>
      <c r="V105" s="57"/>
      <c r="W105" s="58"/>
      <c r="X105" s="58"/>
      <c r="Y105" s="58"/>
      <c r="Z105" s="58"/>
      <c r="AA105" s="58"/>
      <c r="AB105" s="58">
        <f t="shared" si="5"/>
        <v>0</v>
      </c>
      <c r="AC105" s="58"/>
      <c r="AD105" s="59"/>
      <c r="AE105" s="60"/>
      <c r="AF105" s="61"/>
      <c r="AG105" s="59"/>
      <c r="AH105" s="60"/>
      <c r="AI105" s="62"/>
      <c r="AJ105" s="62">
        <f t="shared" si="6"/>
        <v>0</v>
      </c>
      <c r="AK105" s="63"/>
      <c r="AL105" s="64">
        <f t="shared" si="7"/>
        <v>0</v>
      </c>
      <c r="AP105" s="65">
        <f t="shared" si="8"/>
        <v>0</v>
      </c>
      <c r="AQ105" s="16">
        <f t="shared" si="9"/>
        <v>1</v>
      </c>
      <c r="AR105" s="16">
        <f t="shared" si="10"/>
        <v>0</v>
      </c>
      <c r="AS105" s="66">
        <f t="shared" si="11"/>
        <v>0</v>
      </c>
      <c r="AT105" s="67">
        <f t="shared" si="12"/>
        <v>0</v>
      </c>
      <c r="AU105" s="68">
        <f t="shared" si="13"/>
        <v>0</v>
      </c>
      <c r="AV105" s="19">
        <f t="shared" si="14"/>
        <v>0</v>
      </c>
      <c r="AW105" s="69">
        <f t="shared" si="15"/>
        <v>0</v>
      </c>
      <c r="AY105" s="65">
        <f t="shared" si="16"/>
        <v>1</v>
      </c>
      <c r="AZ105" s="16">
        <f t="shared" si="17"/>
        <v>1</v>
      </c>
      <c r="BA105" s="16">
        <f t="shared" si="18"/>
        <v>1</v>
      </c>
      <c r="BB105" s="70">
        <f t="shared" si="19"/>
        <v>150</v>
      </c>
      <c r="BC105" s="67">
        <f t="shared" si="20"/>
        <v>28269.42</v>
      </c>
      <c r="BD105" s="71">
        <f t="shared" si="21"/>
        <v>13.866666666666667</v>
      </c>
      <c r="BE105" s="19">
        <f t="shared" si="22"/>
        <v>6.4222452638723563E-3</v>
      </c>
      <c r="BF105" s="69">
        <f t="shared" si="23"/>
        <v>0</v>
      </c>
      <c r="BH105" s="72">
        <f t="shared" si="24"/>
        <v>28269.42</v>
      </c>
      <c r="BI105" s="73">
        <f t="shared" si="25"/>
        <v>1</v>
      </c>
      <c r="BJ105" s="74">
        <f t="shared" si="26"/>
        <v>2.5132054989502649E-3</v>
      </c>
      <c r="BK105" s="75">
        <f t="shared" si="27"/>
        <v>0</v>
      </c>
      <c r="BM105" s="76">
        <f t="shared" si="28"/>
        <v>1</v>
      </c>
    </row>
    <row r="106" spans="1:65" ht="12.75" customHeight="1" x14ac:dyDescent="0.2">
      <c r="A106" s="47"/>
      <c r="B106" s="48" t="s">
        <v>239</v>
      </c>
      <c r="C106" s="49">
        <v>34966.400000000001</v>
      </c>
      <c r="D106" s="50">
        <v>12</v>
      </c>
      <c r="E106" s="49">
        <v>33025.35</v>
      </c>
      <c r="F106" s="50" t="s">
        <v>63</v>
      </c>
      <c r="G106" s="51">
        <v>40674</v>
      </c>
      <c r="H106" s="52" t="s">
        <v>56</v>
      </c>
      <c r="I106" s="51">
        <v>40887</v>
      </c>
      <c r="J106" s="52">
        <f t="shared" si="0"/>
        <v>7.1</v>
      </c>
      <c r="K106" s="53" t="s">
        <v>240</v>
      </c>
      <c r="L106" s="53">
        <v>45808.2</v>
      </c>
      <c r="M106" s="54">
        <v>735.32</v>
      </c>
      <c r="N106" s="54"/>
      <c r="O106" s="54">
        <v>3679.2</v>
      </c>
      <c r="P106" s="54">
        <f t="shared" si="35"/>
        <v>0</v>
      </c>
      <c r="Q106" s="54">
        <f t="shared" si="34"/>
        <v>0</v>
      </c>
      <c r="R106" s="55">
        <f t="shared" si="3"/>
        <v>0</v>
      </c>
      <c r="S106" s="55">
        <f t="shared" si="4"/>
        <v>1</v>
      </c>
      <c r="T106" s="56"/>
      <c r="V106" s="57"/>
      <c r="W106" s="58"/>
      <c r="X106" s="58"/>
      <c r="Y106" s="58"/>
      <c r="Z106" s="58"/>
      <c r="AA106" s="58"/>
      <c r="AB106" s="58">
        <f t="shared" si="5"/>
        <v>0</v>
      </c>
      <c r="AC106" s="58"/>
      <c r="AD106" s="59"/>
      <c r="AE106" s="60"/>
      <c r="AF106" s="61"/>
      <c r="AG106" s="59"/>
      <c r="AH106" s="60"/>
      <c r="AI106" s="62"/>
      <c r="AJ106" s="62">
        <f t="shared" si="6"/>
        <v>0</v>
      </c>
      <c r="AK106" s="63"/>
      <c r="AL106" s="64">
        <f t="shared" si="7"/>
        <v>0</v>
      </c>
      <c r="AP106" s="65">
        <f t="shared" si="8"/>
        <v>0</v>
      </c>
      <c r="AQ106" s="16">
        <f t="shared" si="9"/>
        <v>1</v>
      </c>
      <c r="AR106" s="16">
        <f t="shared" si="10"/>
        <v>0</v>
      </c>
      <c r="AS106" s="66">
        <f t="shared" si="11"/>
        <v>0</v>
      </c>
      <c r="AT106" s="67">
        <f t="shared" si="12"/>
        <v>0</v>
      </c>
      <c r="AU106" s="68">
        <f t="shared" si="13"/>
        <v>0</v>
      </c>
      <c r="AV106" s="19">
        <f t="shared" si="14"/>
        <v>0</v>
      </c>
      <c r="AW106" s="69">
        <f t="shared" si="15"/>
        <v>0</v>
      </c>
      <c r="AY106" s="65">
        <f t="shared" si="16"/>
        <v>1</v>
      </c>
      <c r="AZ106" s="16">
        <f t="shared" si="17"/>
        <v>1</v>
      </c>
      <c r="BA106" s="16">
        <f t="shared" si="18"/>
        <v>1</v>
      </c>
      <c r="BB106" s="70">
        <f t="shared" si="19"/>
        <v>3679.2</v>
      </c>
      <c r="BC106" s="67">
        <f t="shared" si="20"/>
        <v>33025.35</v>
      </c>
      <c r="BD106" s="71">
        <f t="shared" si="21"/>
        <v>7.1</v>
      </c>
      <c r="BE106" s="19">
        <f t="shared" si="22"/>
        <v>7.5026971768514155E-3</v>
      </c>
      <c r="BF106" s="69">
        <f t="shared" si="23"/>
        <v>0</v>
      </c>
      <c r="BH106" s="72">
        <f t="shared" si="24"/>
        <v>33025.35</v>
      </c>
      <c r="BI106" s="73">
        <f t="shared" si="25"/>
        <v>1</v>
      </c>
      <c r="BJ106" s="74">
        <f t="shared" si="26"/>
        <v>2.9360167709403706E-3</v>
      </c>
      <c r="BK106" s="75">
        <f t="shared" si="27"/>
        <v>0</v>
      </c>
      <c r="BM106" s="76">
        <f t="shared" si="28"/>
        <v>1</v>
      </c>
    </row>
    <row r="107" spans="1:65" ht="12.75" customHeight="1" x14ac:dyDescent="0.2">
      <c r="A107" s="47"/>
      <c r="B107" s="48" t="s">
        <v>241</v>
      </c>
      <c r="C107" s="49">
        <v>23439.17</v>
      </c>
      <c r="D107" s="50">
        <v>13</v>
      </c>
      <c r="E107" s="49">
        <v>20144.16</v>
      </c>
      <c r="F107" s="50" t="s">
        <v>55</v>
      </c>
      <c r="G107" s="51">
        <v>40694</v>
      </c>
      <c r="H107" s="52" t="s">
        <v>56</v>
      </c>
      <c r="I107" s="51">
        <v>41193</v>
      </c>
      <c r="J107" s="52">
        <f t="shared" si="0"/>
        <v>16.633333333333333</v>
      </c>
      <c r="K107" s="53" t="s">
        <v>242</v>
      </c>
      <c r="L107" s="53">
        <v>30000</v>
      </c>
      <c r="M107" s="54">
        <v>852.51</v>
      </c>
      <c r="N107" s="54">
        <v>5347.44</v>
      </c>
      <c r="O107" s="54">
        <v>5824.79</v>
      </c>
      <c r="P107" s="54">
        <f t="shared" si="35"/>
        <v>0</v>
      </c>
      <c r="Q107" s="54">
        <f t="shared" si="34"/>
        <v>2168.8999999999996</v>
      </c>
      <c r="R107" s="55">
        <f t="shared" si="3"/>
        <v>0.10766892240728825</v>
      </c>
      <c r="S107" s="55">
        <f t="shared" si="4"/>
        <v>0.8923310775927118</v>
      </c>
      <c r="T107" s="56"/>
      <c r="V107" s="57"/>
      <c r="W107" s="58"/>
      <c r="X107" s="58"/>
      <c r="Y107" s="58"/>
      <c r="Z107" s="58"/>
      <c r="AA107" s="58"/>
      <c r="AB107" s="58">
        <f t="shared" si="5"/>
        <v>0</v>
      </c>
      <c r="AC107" s="58"/>
      <c r="AD107" s="59"/>
      <c r="AE107" s="60"/>
      <c r="AF107" s="61"/>
      <c r="AG107" s="59"/>
      <c r="AH107" s="60"/>
      <c r="AI107" s="62"/>
      <c r="AJ107" s="62">
        <f t="shared" si="6"/>
        <v>0</v>
      </c>
      <c r="AK107" s="63"/>
      <c r="AL107" s="64">
        <f t="shared" si="7"/>
        <v>0</v>
      </c>
      <c r="AP107" s="65">
        <f t="shared" si="8"/>
        <v>1</v>
      </c>
      <c r="AQ107" s="16">
        <f t="shared" si="9"/>
        <v>1</v>
      </c>
      <c r="AR107" s="16">
        <f t="shared" si="10"/>
        <v>1</v>
      </c>
      <c r="AS107" s="66">
        <f t="shared" si="11"/>
        <v>11172.23</v>
      </c>
      <c r="AT107" s="67">
        <f t="shared" si="12"/>
        <v>20144.16</v>
      </c>
      <c r="AU107" s="68">
        <f t="shared" si="13"/>
        <v>16.633333333333333</v>
      </c>
      <c r="AV107" s="19">
        <f t="shared" si="14"/>
        <v>2.9422330131155948E-3</v>
      </c>
      <c r="AW107" s="69">
        <f t="shared" si="15"/>
        <v>3.1678705799330489E-4</v>
      </c>
      <c r="AY107" s="65">
        <f t="shared" si="16"/>
        <v>0</v>
      </c>
      <c r="AZ107" s="16">
        <f t="shared" si="17"/>
        <v>1</v>
      </c>
      <c r="BA107" s="16">
        <f t="shared" si="18"/>
        <v>0</v>
      </c>
      <c r="BB107" s="70">
        <f t="shared" si="19"/>
        <v>0</v>
      </c>
      <c r="BC107" s="67">
        <f t="shared" si="20"/>
        <v>0</v>
      </c>
      <c r="BD107" s="71">
        <f t="shared" si="21"/>
        <v>0</v>
      </c>
      <c r="BE107" s="19">
        <f t="shared" si="22"/>
        <v>0</v>
      </c>
      <c r="BF107" s="69">
        <f t="shared" si="23"/>
        <v>0</v>
      </c>
      <c r="BH107" s="72">
        <f t="shared" si="24"/>
        <v>20144.16</v>
      </c>
      <c r="BI107" s="73">
        <f t="shared" si="25"/>
        <v>1</v>
      </c>
      <c r="BJ107" s="74">
        <f t="shared" si="26"/>
        <v>1.7908543466308815E-3</v>
      </c>
      <c r="BK107" s="75">
        <f t="shared" si="27"/>
        <v>1.9281935769015527E-4</v>
      </c>
      <c r="BM107" s="76">
        <f t="shared" si="28"/>
        <v>1</v>
      </c>
    </row>
    <row r="108" spans="1:65" ht="12.75" customHeight="1" x14ac:dyDescent="0.2">
      <c r="A108" s="47"/>
      <c r="B108" s="48" t="s">
        <v>243</v>
      </c>
      <c r="C108" s="49">
        <v>21324.01</v>
      </c>
      <c r="D108" s="50">
        <v>13</v>
      </c>
      <c r="E108" s="49">
        <f>17142.29+3151.42</f>
        <v>20293.71</v>
      </c>
      <c r="F108" s="50" t="s">
        <v>63</v>
      </c>
      <c r="G108" s="51">
        <v>40705</v>
      </c>
      <c r="H108" s="52" t="s">
        <v>56</v>
      </c>
      <c r="I108" s="51">
        <v>40858</v>
      </c>
      <c r="J108" s="52">
        <f t="shared" si="0"/>
        <v>5.0999999999999996</v>
      </c>
      <c r="K108" s="53" t="s">
        <v>244</v>
      </c>
      <c r="L108" s="53">
        <v>32000</v>
      </c>
      <c r="M108" s="54">
        <v>23.28</v>
      </c>
      <c r="N108" s="54"/>
      <c r="O108" s="54">
        <v>0</v>
      </c>
      <c r="P108" s="54">
        <f t="shared" si="35"/>
        <v>0</v>
      </c>
      <c r="Q108" s="54">
        <f t="shared" si="34"/>
        <v>0</v>
      </c>
      <c r="R108" s="55">
        <f t="shared" si="3"/>
        <v>0</v>
      </c>
      <c r="S108" s="55">
        <f t="shared" si="4"/>
        <v>1</v>
      </c>
      <c r="T108" s="56"/>
      <c r="V108" s="57"/>
      <c r="W108" s="58"/>
      <c r="X108" s="58"/>
      <c r="Y108" s="58"/>
      <c r="Z108" s="58"/>
      <c r="AA108" s="58"/>
      <c r="AB108" s="58">
        <f t="shared" si="5"/>
        <v>0</v>
      </c>
      <c r="AC108" s="58"/>
      <c r="AD108" s="59"/>
      <c r="AE108" s="60"/>
      <c r="AF108" s="61"/>
      <c r="AG108" s="59"/>
      <c r="AH108" s="60"/>
      <c r="AI108" s="62"/>
      <c r="AJ108" s="62">
        <f t="shared" si="6"/>
        <v>0</v>
      </c>
      <c r="AK108" s="63"/>
      <c r="AL108" s="64">
        <f t="shared" si="7"/>
        <v>0</v>
      </c>
      <c r="AP108" s="65">
        <f t="shared" si="8"/>
        <v>0</v>
      </c>
      <c r="AQ108" s="16">
        <f t="shared" si="9"/>
        <v>1</v>
      </c>
      <c r="AR108" s="16">
        <f t="shared" si="10"/>
        <v>0</v>
      </c>
      <c r="AS108" s="66">
        <f t="shared" si="11"/>
        <v>0</v>
      </c>
      <c r="AT108" s="67">
        <f t="shared" si="12"/>
        <v>0</v>
      </c>
      <c r="AU108" s="68">
        <f t="shared" si="13"/>
        <v>0</v>
      </c>
      <c r="AV108" s="19">
        <f t="shared" si="14"/>
        <v>0</v>
      </c>
      <c r="AW108" s="69">
        <f t="shared" si="15"/>
        <v>0</v>
      </c>
      <c r="AY108" s="65">
        <f t="shared" si="16"/>
        <v>1</v>
      </c>
      <c r="AZ108" s="16">
        <f t="shared" si="17"/>
        <v>1</v>
      </c>
      <c r="BA108" s="16">
        <f t="shared" si="18"/>
        <v>1</v>
      </c>
      <c r="BB108" s="70">
        <f t="shared" si="19"/>
        <v>0</v>
      </c>
      <c r="BC108" s="67">
        <f t="shared" si="20"/>
        <v>20293.71</v>
      </c>
      <c r="BD108" s="71">
        <f t="shared" si="21"/>
        <v>5.0999999999999996</v>
      </c>
      <c r="BE108" s="19">
        <f t="shared" si="22"/>
        <v>4.6103239095071314E-3</v>
      </c>
      <c r="BF108" s="69">
        <f t="shared" si="23"/>
        <v>0</v>
      </c>
      <c r="BH108" s="72">
        <f t="shared" si="24"/>
        <v>20293.71</v>
      </c>
      <c r="BI108" s="73">
        <f t="shared" si="25"/>
        <v>1</v>
      </c>
      <c r="BJ108" s="74">
        <f t="shared" si="26"/>
        <v>1.8041496276224268E-3</v>
      </c>
      <c r="BK108" s="75">
        <f t="shared" si="27"/>
        <v>0</v>
      </c>
      <c r="BM108" s="76">
        <f t="shared" si="28"/>
        <v>1</v>
      </c>
    </row>
    <row r="109" spans="1:65" ht="12.75" customHeight="1" x14ac:dyDescent="0.2">
      <c r="A109" s="47"/>
      <c r="B109" s="48" t="s">
        <v>245</v>
      </c>
      <c r="C109" s="49">
        <v>21681</v>
      </c>
      <c r="D109" s="50">
        <v>12</v>
      </c>
      <c r="E109" s="49">
        <v>19513.98</v>
      </c>
      <c r="F109" s="50" t="s">
        <v>63</v>
      </c>
      <c r="G109" s="51">
        <v>40705</v>
      </c>
      <c r="H109" s="52" t="s">
        <v>56</v>
      </c>
      <c r="I109" s="51">
        <v>41091</v>
      </c>
      <c r="J109" s="52">
        <f t="shared" si="0"/>
        <v>12.866666666666667</v>
      </c>
      <c r="K109" s="53" t="s">
        <v>246</v>
      </c>
      <c r="L109" s="53">
        <v>26000</v>
      </c>
      <c r="M109" s="54">
        <v>829.61999999999989</v>
      </c>
      <c r="N109" s="54">
        <v>380.33</v>
      </c>
      <c r="O109" s="54">
        <v>4416.05</v>
      </c>
      <c r="P109" s="54">
        <f t="shared" si="35"/>
        <v>0</v>
      </c>
      <c r="Q109" s="54">
        <f t="shared" si="34"/>
        <v>0</v>
      </c>
      <c r="R109" s="55">
        <f t="shared" si="3"/>
        <v>0</v>
      </c>
      <c r="S109" s="55">
        <f t="shared" si="4"/>
        <v>1</v>
      </c>
      <c r="T109" s="56"/>
      <c r="V109" s="57"/>
      <c r="W109" s="58"/>
      <c r="X109" s="58"/>
      <c r="Y109" s="58"/>
      <c r="Z109" s="58"/>
      <c r="AA109" s="58"/>
      <c r="AB109" s="58">
        <f t="shared" si="5"/>
        <v>0</v>
      </c>
      <c r="AC109" s="58"/>
      <c r="AD109" s="59"/>
      <c r="AE109" s="60"/>
      <c r="AF109" s="61"/>
      <c r="AG109" s="59"/>
      <c r="AH109" s="60"/>
      <c r="AI109" s="62"/>
      <c r="AJ109" s="62">
        <f t="shared" si="6"/>
        <v>0</v>
      </c>
      <c r="AK109" s="63"/>
      <c r="AL109" s="64">
        <f t="shared" si="7"/>
        <v>0</v>
      </c>
      <c r="AP109" s="65">
        <f t="shared" si="8"/>
        <v>0</v>
      </c>
      <c r="AQ109" s="16">
        <f t="shared" si="9"/>
        <v>1</v>
      </c>
      <c r="AR109" s="16">
        <f t="shared" si="10"/>
        <v>0</v>
      </c>
      <c r="AS109" s="66">
        <f t="shared" si="11"/>
        <v>0</v>
      </c>
      <c r="AT109" s="67">
        <f t="shared" si="12"/>
        <v>0</v>
      </c>
      <c r="AU109" s="68">
        <f t="shared" si="13"/>
        <v>0</v>
      </c>
      <c r="AV109" s="19">
        <f t="shared" si="14"/>
        <v>0</v>
      </c>
      <c r="AW109" s="69">
        <f t="shared" si="15"/>
        <v>0</v>
      </c>
      <c r="AY109" s="65">
        <f t="shared" si="16"/>
        <v>1</v>
      </c>
      <c r="AZ109" s="16">
        <f t="shared" si="17"/>
        <v>1</v>
      </c>
      <c r="BA109" s="16">
        <f t="shared" si="18"/>
        <v>1</v>
      </c>
      <c r="BB109" s="70">
        <f t="shared" si="19"/>
        <v>4796.38</v>
      </c>
      <c r="BC109" s="67">
        <f t="shared" si="20"/>
        <v>19513.98</v>
      </c>
      <c r="BD109" s="71">
        <f t="shared" si="21"/>
        <v>12.866666666666667</v>
      </c>
      <c r="BE109" s="19">
        <f t="shared" si="22"/>
        <v>4.4331848914586818E-3</v>
      </c>
      <c r="BF109" s="69">
        <f t="shared" si="23"/>
        <v>0</v>
      </c>
      <c r="BH109" s="72">
        <f t="shared" si="24"/>
        <v>19513.98</v>
      </c>
      <c r="BI109" s="73">
        <f t="shared" si="25"/>
        <v>1</v>
      </c>
      <c r="BJ109" s="74">
        <f t="shared" si="26"/>
        <v>1.7348301395078319E-3</v>
      </c>
      <c r="BK109" s="75">
        <f t="shared" si="27"/>
        <v>0</v>
      </c>
      <c r="BM109" s="76">
        <f t="shared" si="28"/>
        <v>1</v>
      </c>
    </row>
    <row r="110" spans="1:65" ht="12.75" customHeight="1" x14ac:dyDescent="0.2">
      <c r="A110" s="47"/>
      <c r="B110" s="48" t="s">
        <v>247</v>
      </c>
      <c r="C110" s="49">
        <v>20500</v>
      </c>
      <c r="D110" s="50">
        <v>11</v>
      </c>
      <c r="E110" s="49">
        <v>20144.189999999999</v>
      </c>
      <c r="F110" s="50" t="s">
        <v>55</v>
      </c>
      <c r="G110" s="51">
        <v>40735</v>
      </c>
      <c r="H110" s="52" t="s">
        <v>56</v>
      </c>
      <c r="I110" s="51">
        <v>40888</v>
      </c>
      <c r="J110" s="52">
        <f t="shared" si="0"/>
        <v>5.0999999999999996</v>
      </c>
      <c r="K110" s="53" t="s">
        <v>248</v>
      </c>
      <c r="L110" s="53">
        <v>26100</v>
      </c>
      <c r="M110" s="54">
        <v>1144.45</v>
      </c>
      <c r="N110" s="54"/>
      <c r="O110" s="54">
        <v>1826.71</v>
      </c>
      <c r="P110" s="54">
        <f t="shared" si="35"/>
        <v>0</v>
      </c>
      <c r="Q110" s="54">
        <f t="shared" si="34"/>
        <v>0</v>
      </c>
      <c r="R110" s="55">
        <f t="shared" si="3"/>
        <v>0</v>
      </c>
      <c r="S110" s="55">
        <f t="shared" si="4"/>
        <v>1</v>
      </c>
      <c r="T110" s="56"/>
      <c r="V110" s="57"/>
      <c r="W110" s="58"/>
      <c r="X110" s="58"/>
      <c r="Y110" s="58"/>
      <c r="Z110" s="58"/>
      <c r="AA110" s="58"/>
      <c r="AB110" s="58">
        <f t="shared" si="5"/>
        <v>0</v>
      </c>
      <c r="AC110" s="58"/>
      <c r="AD110" s="59"/>
      <c r="AE110" s="60"/>
      <c r="AF110" s="61"/>
      <c r="AG110" s="59"/>
      <c r="AH110" s="60"/>
      <c r="AI110" s="62"/>
      <c r="AJ110" s="62">
        <f t="shared" si="6"/>
        <v>0</v>
      </c>
      <c r="AK110" s="63"/>
      <c r="AL110" s="64">
        <f t="shared" si="7"/>
        <v>0</v>
      </c>
      <c r="AP110" s="65">
        <f t="shared" si="8"/>
        <v>1</v>
      </c>
      <c r="AQ110" s="16">
        <f t="shared" si="9"/>
        <v>1</v>
      </c>
      <c r="AR110" s="16">
        <f t="shared" si="10"/>
        <v>1</v>
      </c>
      <c r="AS110" s="66">
        <f t="shared" si="11"/>
        <v>1826.71</v>
      </c>
      <c r="AT110" s="67">
        <f t="shared" si="12"/>
        <v>20144.189999999999</v>
      </c>
      <c r="AU110" s="68">
        <f t="shared" si="13"/>
        <v>5.0999999999999996</v>
      </c>
      <c r="AV110" s="19">
        <f t="shared" si="14"/>
        <v>2.9422373948813467E-3</v>
      </c>
      <c r="AW110" s="69">
        <f t="shared" si="15"/>
        <v>0</v>
      </c>
      <c r="AY110" s="65">
        <f t="shared" si="16"/>
        <v>0</v>
      </c>
      <c r="AZ110" s="16">
        <f t="shared" si="17"/>
        <v>1</v>
      </c>
      <c r="BA110" s="16">
        <f t="shared" si="18"/>
        <v>0</v>
      </c>
      <c r="BB110" s="70">
        <f t="shared" si="19"/>
        <v>0</v>
      </c>
      <c r="BC110" s="67">
        <f t="shared" si="20"/>
        <v>0</v>
      </c>
      <c r="BD110" s="71">
        <f t="shared" si="21"/>
        <v>0</v>
      </c>
      <c r="BE110" s="19">
        <f t="shared" si="22"/>
        <v>0</v>
      </c>
      <c r="BF110" s="69">
        <f t="shared" si="23"/>
        <v>0</v>
      </c>
      <c r="BH110" s="72">
        <f t="shared" si="24"/>
        <v>20144.189999999999</v>
      </c>
      <c r="BI110" s="73">
        <f t="shared" si="25"/>
        <v>1</v>
      </c>
      <c r="BJ110" s="74">
        <f t="shared" si="26"/>
        <v>1.7908570136882518E-3</v>
      </c>
      <c r="BK110" s="75">
        <f t="shared" si="27"/>
        <v>0</v>
      </c>
      <c r="BM110" s="76">
        <f t="shared" si="28"/>
        <v>1</v>
      </c>
    </row>
    <row r="111" spans="1:65" ht="12.75" customHeight="1" x14ac:dyDescent="0.2">
      <c r="A111" s="47"/>
      <c r="B111" s="48" t="s">
        <v>249</v>
      </c>
      <c r="C111" s="49">
        <v>29700</v>
      </c>
      <c r="D111" s="50">
        <v>13</v>
      </c>
      <c r="E111" s="49">
        <v>29640.52</v>
      </c>
      <c r="F111" s="50" t="s">
        <v>55</v>
      </c>
      <c r="G111" s="51">
        <v>40735</v>
      </c>
      <c r="H111" s="52" t="s">
        <v>56</v>
      </c>
      <c r="I111" s="51">
        <v>40939</v>
      </c>
      <c r="J111" s="52">
        <f t="shared" si="0"/>
        <v>6.8</v>
      </c>
      <c r="K111" s="53" t="s">
        <v>250</v>
      </c>
      <c r="L111" s="53">
        <v>32085</v>
      </c>
      <c r="M111" s="54">
        <v>308.88</v>
      </c>
      <c r="N111" s="54"/>
      <c r="O111" s="54">
        <v>2193.19</v>
      </c>
      <c r="P111" s="54">
        <f t="shared" si="35"/>
        <v>0</v>
      </c>
      <c r="Q111" s="54">
        <f t="shared" si="34"/>
        <v>57.5900000000006</v>
      </c>
      <c r="R111" s="55">
        <f t="shared" si="3"/>
        <v>1.9429483693268741E-3</v>
      </c>
      <c r="S111" s="55">
        <f t="shared" si="4"/>
        <v>0.99805705163067315</v>
      </c>
      <c r="T111" s="56"/>
      <c r="V111" s="57"/>
      <c r="W111" s="58"/>
      <c r="X111" s="58"/>
      <c r="Y111" s="58"/>
      <c r="Z111" s="58"/>
      <c r="AA111" s="58"/>
      <c r="AB111" s="58">
        <f t="shared" si="5"/>
        <v>0</v>
      </c>
      <c r="AC111" s="58"/>
      <c r="AD111" s="59"/>
      <c r="AE111" s="60"/>
      <c r="AF111" s="61"/>
      <c r="AG111" s="59"/>
      <c r="AH111" s="60"/>
      <c r="AI111" s="62"/>
      <c r="AJ111" s="62">
        <f t="shared" si="6"/>
        <v>0</v>
      </c>
      <c r="AK111" s="63"/>
      <c r="AL111" s="64">
        <f t="shared" si="7"/>
        <v>0</v>
      </c>
      <c r="AP111" s="65">
        <f t="shared" si="8"/>
        <v>1</v>
      </c>
      <c r="AQ111" s="16">
        <f t="shared" si="9"/>
        <v>1</v>
      </c>
      <c r="AR111" s="16">
        <f t="shared" si="10"/>
        <v>1</v>
      </c>
      <c r="AS111" s="66">
        <f t="shared" si="11"/>
        <v>2193.19</v>
      </c>
      <c r="AT111" s="67">
        <f t="shared" si="12"/>
        <v>29640.52</v>
      </c>
      <c r="AU111" s="68">
        <f t="shared" si="13"/>
        <v>6.8</v>
      </c>
      <c r="AV111" s="19">
        <f t="shared" si="14"/>
        <v>4.3292605137128107E-3</v>
      </c>
      <c r="AW111" s="69">
        <f t="shared" si="15"/>
        <v>8.4115296555095314E-6</v>
      </c>
      <c r="AY111" s="65">
        <f t="shared" si="16"/>
        <v>0</v>
      </c>
      <c r="AZ111" s="16">
        <f t="shared" si="17"/>
        <v>1</v>
      </c>
      <c r="BA111" s="16">
        <f t="shared" si="18"/>
        <v>0</v>
      </c>
      <c r="BB111" s="70">
        <f t="shared" si="19"/>
        <v>0</v>
      </c>
      <c r="BC111" s="67">
        <f t="shared" si="20"/>
        <v>0</v>
      </c>
      <c r="BD111" s="71">
        <f t="shared" si="21"/>
        <v>0</v>
      </c>
      <c r="BE111" s="19">
        <f t="shared" si="22"/>
        <v>0</v>
      </c>
      <c r="BF111" s="69">
        <f t="shared" si="23"/>
        <v>0</v>
      </c>
      <c r="BH111" s="72">
        <f t="shared" si="24"/>
        <v>29640.52</v>
      </c>
      <c r="BI111" s="73">
        <f t="shared" si="25"/>
        <v>1</v>
      </c>
      <c r="BJ111" s="74">
        <f t="shared" si="26"/>
        <v>2.6350989109697092E-3</v>
      </c>
      <c r="BK111" s="75">
        <f t="shared" si="27"/>
        <v>5.1198611320836182E-6</v>
      </c>
      <c r="BM111" s="76">
        <f t="shared" si="28"/>
        <v>1</v>
      </c>
    </row>
    <row r="112" spans="1:65" ht="12.75" customHeight="1" x14ac:dyDescent="0.2">
      <c r="A112" s="47"/>
      <c r="B112" s="48" t="s">
        <v>251</v>
      </c>
      <c r="C112" s="49">
        <v>34105</v>
      </c>
      <c r="D112" s="50">
        <v>13</v>
      </c>
      <c r="E112" s="49">
        <v>29687.27</v>
      </c>
      <c r="F112" s="50" t="s">
        <v>55</v>
      </c>
      <c r="G112" s="51">
        <v>40735</v>
      </c>
      <c r="H112" s="52" t="s">
        <v>56</v>
      </c>
      <c r="I112" s="51">
        <v>41119</v>
      </c>
      <c r="J112" s="52">
        <f t="shared" si="0"/>
        <v>12.8</v>
      </c>
      <c r="K112" s="53" t="s">
        <v>252</v>
      </c>
      <c r="L112" s="53">
        <v>46000</v>
      </c>
      <c r="M112" s="54">
        <v>4077.31</v>
      </c>
      <c r="N112" s="54">
        <v>14811.97</v>
      </c>
      <c r="O112" s="54">
        <v>2011.37</v>
      </c>
      <c r="P112" s="54">
        <f t="shared" si="35"/>
        <v>0</v>
      </c>
      <c r="Q112" s="54">
        <f t="shared" si="34"/>
        <v>4587.9199999999992</v>
      </c>
      <c r="R112" s="55">
        <f t="shared" si="3"/>
        <v>0.15454166044907461</v>
      </c>
      <c r="S112" s="55">
        <f t="shared" si="4"/>
        <v>0.84545833955092542</v>
      </c>
      <c r="T112" s="56"/>
      <c r="V112" s="57"/>
      <c r="W112" s="58"/>
      <c r="X112" s="58"/>
      <c r="Y112" s="58"/>
      <c r="Z112" s="58"/>
      <c r="AA112" s="58"/>
      <c r="AB112" s="58">
        <f t="shared" si="5"/>
        <v>0</v>
      </c>
      <c r="AC112" s="58"/>
      <c r="AD112" s="59"/>
      <c r="AE112" s="60"/>
      <c r="AF112" s="61"/>
      <c r="AG112" s="59"/>
      <c r="AH112" s="60"/>
      <c r="AI112" s="62"/>
      <c r="AJ112" s="62">
        <f t="shared" si="6"/>
        <v>0</v>
      </c>
      <c r="AK112" s="63"/>
      <c r="AL112" s="64">
        <f t="shared" si="7"/>
        <v>0</v>
      </c>
      <c r="AP112" s="65">
        <f t="shared" si="8"/>
        <v>1</v>
      </c>
      <c r="AQ112" s="16">
        <f t="shared" si="9"/>
        <v>1</v>
      </c>
      <c r="AR112" s="16">
        <f t="shared" si="10"/>
        <v>1</v>
      </c>
      <c r="AS112" s="66">
        <f t="shared" si="11"/>
        <v>16823.34</v>
      </c>
      <c r="AT112" s="67">
        <f t="shared" si="12"/>
        <v>29687.27</v>
      </c>
      <c r="AU112" s="68">
        <f t="shared" si="13"/>
        <v>12.8</v>
      </c>
      <c r="AV112" s="19">
        <f t="shared" si="14"/>
        <v>4.3360887653432168E-3</v>
      </c>
      <c r="AW112" s="69">
        <f t="shared" si="15"/>
        <v>6.7010635765071857E-4</v>
      </c>
      <c r="AY112" s="65">
        <f t="shared" si="16"/>
        <v>0</v>
      </c>
      <c r="AZ112" s="16">
        <f t="shared" si="17"/>
        <v>1</v>
      </c>
      <c r="BA112" s="16">
        <f t="shared" si="18"/>
        <v>0</v>
      </c>
      <c r="BB112" s="70">
        <f t="shared" si="19"/>
        <v>0</v>
      </c>
      <c r="BC112" s="67">
        <f t="shared" si="20"/>
        <v>0</v>
      </c>
      <c r="BD112" s="71">
        <f t="shared" si="21"/>
        <v>0</v>
      </c>
      <c r="BE112" s="19">
        <f t="shared" si="22"/>
        <v>0</v>
      </c>
      <c r="BF112" s="69">
        <f t="shared" si="23"/>
        <v>0</v>
      </c>
      <c r="BH112" s="72">
        <f t="shared" si="24"/>
        <v>29687.27</v>
      </c>
      <c r="BI112" s="73">
        <f t="shared" si="25"/>
        <v>1</v>
      </c>
      <c r="BJ112" s="74">
        <f t="shared" si="26"/>
        <v>2.6392550753719475E-3</v>
      </c>
      <c r="BK112" s="75">
        <f t="shared" si="27"/>
        <v>4.078748616966283E-4</v>
      </c>
      <c r="BM112" s="76">
        <f t="shared" si="28"/>
        <v>1</v>
      </c>
    </row>
    <row r="113" spans="1:65" ht="12.75" customHeight="1" x14ac:dyDescent="0.2">
      <c r="A113" s="47"/>
      <c r="B113" s="48" t="s">
        <v>253</v>
      </c>
      <c r="C113" s="49">
        <v>26350</v>
      </c>
      <c r="D113" s="50">
        <v>12</v>
      </c>
      <c r="E113" s="49">
        <v>24310.639999999999</v>
      </c>
      <c r="F113" s="50" t="s">
        <v>63</v>
      </c>
      <c r="G113" s="51">
        <v>40754</v>
      </c>
      <c r="H113" s="52" t="s">
        <v>56</v>
      </c>
      <c r="I113" s="51">
        <v>40858</v>
      </c>
      <c r="J113" s="52">
        <f t="shared" si="0"/>
        <v>3.4666666666666668</v>
      </c>
      <c r="K113" s="53" t="s">
        <v>254</v>
      </c>
      <c r="L113" s="53">
        <v>26209.35</v>
      </c>
      <c r="M113" s="54">
        <v>339.49</v>
      </c>
      <c r="N113" s="54"/>
      <c r="O113" s="54"/>
      <c r="P113" s="54">
        <f t="shared" si="35"/>
        <v>0</v>
      </c>
      <c r="Q113" s="54">
        <f t="shared" si="34"/>
        <v>0</v>
      </c>
      <c r="R113" s="55">
        <f t="shared" si="3"/>
        <v>0</v>
      </c>
      <c r="S113" s="55">
        <f t="shared" si="4"/>
        <v>1</v>
      </c>
      <c r="T113" s="56"/>
      <c r="V113" s="57"/>
      <c r="W113" s="58"/>
      <c r="X113" s="58"/>
      <c r="Y113" s="58"/>
      <c r="Z113" s="58"/>
      <c r="AA113" s="58"/>
      <c r="AB113" s="58">
        <f t="shared" si="5"/>
        <v>0</v>
      </c>
      <c r="AC113" s="58"/>
      <c r="AD113" s="59"/>
      <c r="AE113" s="60"/>
      <c r="AF113" s="61"/>
      <c r="AG113" s="59"/>
      <c r="AH113" s="60"/>
      <c r="AI113" s="62"/>
      <c r="AJ113" s="62">
        <f t="shared" si="6"/>
        <v>0</v>
      </c>
      <c r="AK113" s="63"/>
      <c r="AL113" s="64">
        <f t="shared" si="7"/>
        <v>0</v>
      </c>
      <c r="AP113" s="65">
        <f t="shared" si="8"/>
        <v>0</v>
      </c>
      <c r="AQ113" s="16">
        <f t="shared" si="9"/>
        <v>1</v>
      </c>
      <c r="AR113" s="16">
        <f t="shared" si="10"/>
        <v>0</v>
      </c>
      <c r="AS113" s="66">
        <f t="shared" si="11"/>
        <v>0</v>
      </c>
      <c r="AT113" s="67">
        <f t="shared" si="12"/>
        <v>0</v>
      </c>
      <c r="AU113" s="68">
        <f t="shared" si="13"/>
        <v>0</v>
      </c>
      <c r="AV113" s="19">
        <f t="shared" si="14"/>
        <v>0</v>
      </c>
      <c r="AW113" s="69">
        <f t="shared" si="15"/>
        <v>0</v>
      </c>
      <c r="AY113" s="65">
        <f t="shared" si="16"/>
        <v>1</v>
      </c>
      <c r="AZ113" s="16">
        <f t="shared" si="17"/>
        <v>1</v>
      </c>
      <c r="BA113" s="16">
        <f t="shared" si="18"/>
        <v>1</v>
      </c>
      <c r="BB113" s="70">
        <f t="shared" si="19"/>
        <v>0</v>
      </c>
      <c r="BC113" s="67">
        <f t="shared" si="20"/>
        <v>24310.639999999999</v>
      </c>
      <c r="BD113" s="71">
        <f t="shared" si="21"/>
        <v>3.4666666666666668</v>
      </c>
      <c r="BE113" s="19">
        <f t="shared" si="22"/>
        <v>5.5228898435732273E-3</v>
      </c>
      <c r="BF113" s="69">
        <f t="shared" si="23"/>
        <v>0</v>
      </c>
      <c r="BH113" s="72">
        <f t="shared" si="24"/>
        <v>24310.639999999999</v>
      </c>
      <c r="BI113" s="73">
        <f t="shared" si="25"/>
        <v>1</v>
      </c>
      <c r="BJ113" s="74">
        <f t="shared" si="26"/>
        <v>2.1612623863878451E-3</v>
      </c>
      <c r="BK113" s="75">
        <f t="shared" si="27"/>
        <v>0</v>
      </c>
      <c r="BM113" s="76">
        <f t="shared" si="28"/>
        <v>1</v>
      </c>
    </row>
    <row r="114" spans="1:65" ht="12.75" customHeight="1" x14ac:dyDescent="0.2">
      <c r="A114" s="47"/>
      <c r="B114" s="48" t="s">
        <v>255</v>
      </c>
      <c r="C114" s="49">
        <v>23235.3</v>
      </c>
      <c r="D114" s="50">
        <v>13</v>
      </c>
      <c r="E114" s="49">
        <v>19992.830000000002</v>
      </c>
      <c r="F114" s="50" t="s">
        <v>63</v>
      </c>
      <c r="G114" s="51">
        <v>40765</v>
      </c>
      <c r="H114" s="52" t="s">
        <v>56</v>
      </c>
      <c r="I114" s="51">
        <v>41070</v>
      </c>
      <c r="J114" s="52">
        <f t="shared" si="0"/>
        <v>10.166666666666666</v>
      </c>
      <c r="K114" s="53" t="s">
        <v>256</v>
      </c>
      <c r="L114" s="53">
        <v>29574</v>
      </c>
      <c r="M114" s="54">
        <v>319.11</v>
      </c>
      <c r="N114" s="54"/>
      <c r="O114" s="54">
        <v>4377.8500000000004</v>
      </c>
      <c r="P114" s="54">
        <f t="shared" si="35"/>
        <v>0</v>
      </c>
      <c r="Q114" s="54">
        <f t="shared" si="34"/>
        <v>0</v>
      </c>
      <c r="R114" s="55">
        <f t="shared" si="3"/>
        <v>0</v>
      </c>
      <c r="S114" s="55">
        <f t="shared" si="4"/>
        <v>1</v>
      </c>
      <c r="T114" s="56"/>
      <c r="V114" s="57"/>
      <c r="W114" s="58"/>
      <c r="X114" s="58"/>
      <c r="Y114" s="58"/>
      <c r="Z114" s="58"/>
      <c r="AA114" s="58"/>
      <c r="AB114" s="58">
        <f t="shared" si="5"/>
        <v>0</v>
      </c>
      <c r="AC114" s="58"/>
      <c r="AD114" s="59"/>
      <c r="AE114" s="60"/>
      <c r="AF114" s="61"/>
      <c r="AG114" s="59"/>
      <c r="AH114" s="60"/>
      <c r="AI114" s="62"/>
      <c r="AJ114" s="62">
        <f t="shared" si="6"/>
        <v>0</v>
      </c>
      <c r="AK114" s="63"/>
      <c r="AL114" s="64">
        <f t="shared" si="7"/>
        <v>0</v>
      </c>
      <c r="AP114" s="65">
        <f t="shared" si="8"/>
        <v>0</v>
      </c>
      <c r="AQ114" s="16">
        <f t="shared" si="9"/>
        <v>1</v>
      </c>
      <c r="AR114" s="16">
        <f t="shared" si="10"/>
        <v>0</v>
      </c>
      <c r="AS114" s="66">
        <f t="shared" si="11"/>
        <v>0</v>
      </c>
      <c r="AT114" s="67">
        <f t="shared" si="12"/>
        <v>0</v>
      </c>
      <c r="AU114" s="68">
        <f t="shared" si="13"/>
        <v>0</v>
      </c>
      <c r="AV114" s="19">
        <f t="shared" si="14"/>
        <v>0</v>
      </c>
      <c r="AW114" s="69">
        <f t="shared" si="15"/>
        <v>0</v>
      </c>
      <c r="AY114" s="65">
        <f t="shared" si="16"/>
        <v>1</v>
      </c>
      <c r="AZ114" s="16">
        <f t="shared" si="17"/>
        <v>1</v>
      </c>
      <c r="BA114" s="16">
        <f t="shared" si="18"/>
        <v>1</v>
      </c>
      <c r="BB114" s="70">
        <f t="shared" si="19"/>
        <v>4377.8500000000004</v>
      </c>
      <c r="BC114" s="67">
        <f t="shared" si="20"/>
        <v>19992.830000000002</v>
      </c>
      <c r="BD114" s="71">
        <f t="shared" si="21"/>
        <v>10.166666666666666</v>
      </c>
      <c r="BE114" s="19">
        <f t="shared" si="22"/>
        <v>4.541970007835505E-3</v>
      </c>
      <c r="BF114" s="69">
        <f t="shared" si="23"/>
        <v>0</v>
      </c>
      <c r="BH114" s="72">
        <f t="shared" si="24"/>
        <v>19992.830000000002</v>
      </c>
      <c r="BI114" s="73">
        <f t="shared" si="25"/>
        <v>1</v>
      </c>
      <c r="BJ114" s="74">
        <f t="shared" si="26"/>
        <v>1.7774008202353581E-3</v>
      </c>
      <c r="BK114" s="75">
        <f t="shared" si="27"/>
        <v>0</v>
      </c>
      <c r="BM114" s="76">
        <f t="shared" si="28"/>
        <v>1</v>
      </c>
    </row>
    <row r="115" spans="1:65" ht="12.75" customHeight="1" x14ac:dyDescent="0.2">
      <c r="A115" s="47"/>
      <c r="B115" s="48" t="s">
        <v>257</v>
      </c>
      <c r="C115" s="49">
        <v>42900</v>
      </c>
      <c r="D115" s="50">
        <v>3</v>
      </c>
      <c r="E115" s="49">
        <v>42592.57</v>
      </c>
      <c r="F115" s="50" t="s">
        <v>55</v>
      </c>
      <c r="G115" s="51">
        <v>40780</v>
      </c>
      <c r="H115" s="52" t="s">
        <v>56</v>
      </c>
      <c r="I115" s="51">
        <v>40858</v>
      </c>
      <c r="J115" s="52">
        <f t="shared" si="0"/>
        <v>2.6</v>
      </c>
      <c r="K115" s="53" t="s">
        <v>258</v>
      </c>
      <c r="L115" s="53">
        <v>49500</v>
      </c>
      <c r="M115" s="54">
        <v>0</v>
      </c>
      <c r="N115" s="54">
        <v>5583.7</v>
      </c>
      <c r="O115" s="54">
        <v>660.13</v>
      </c>
      <c r="P115" s="54">
        <f t="shared" si="35"/>
        <v>0</v>
      </c>
      <c r="Q115" s="54">
        <f t="shared" si="34"/>
        <v>0</v>
      </c>
      <c r="R115" s="55">
        <f t="shared" si="3"/>
        <v>0</v>
      </c>
      <c r="S115" s="55">
        <f t="shared" si="4"/>
        <v>1</v>
      </c>
      <c r="T115" s="56"/>
      <c r="V115" s="57"/>
      <c r="W115" s="58"/>
      <c r="X115" s="58"/>
      <c r="Y115" s="58"/>
      <c r="Z115" s="58"/>
      <c r="AA115" s="58"/>
      <c r="AB115" s="58">
        <f t="shared" si="5"/>
        <v>0</v>
      </c>
      <c r="AC115" s="58"/>
      <c r="AD115" s="59"/>
      <c r="AE115" s="60"/>
      <c r="AF115" s="61"/>
      <c r="AG115" s="59"/>
      <c r="AH115" s="60"/>
      <c r="AI115" s="62"/>
      <c r="AJ115" s="62">
        <f t="shared" si="6"/>
        <v>0</v>
      </c>
      <c r="AK115" s="63"/>
      <c r="AL115" s="64">
        <f t="shared" si="7"/>
        <v>0</v>
      </c>
      <c r="AP115" s="65">
        <f t="shared" si="8"/>
        <v>1</v>
      </c>
      <c r="AQ115" s="16">
        <f t="shared" si="9"/>
        <v>1</v>
      </c>
      <c r="AR115" s="16">
        <f t="shared" si="10"/>
        <v>1</v>
      </c>
      <c r="AS115" s="66">
        <f t="shared" si="11"/>
        <v>6243.83</v>
      </c>
      <c r="AT115" s="67">
        <f t="shared" si="12"/>
        <v>42592.57</v>
      </c>
      <c r="AU115" s="68">
        <f t="shared" si="13"/>
        <v>2.6</v>
      </c>
      <c r="AV115" s="19">
        <f t="shared" si="14"/>
        <v>6.2210221507095305E-3</v>
      </c>
      <c r="AW115" s="69">
        <f t="shared" si="15"/>
        <v>0</v>
      </c>
      <c r="AY115" s="65">
        <f t="shared" si="16"/>
        <v>0</v>
      </c>
      <c r="AZ115" s="16">
        <f t="shared" si="17"/>
        <v>1</v>
      </c>
      <c r="BA115" s="16">
        <f t="shared" si="18"/>
        <v>0</v>
      </c>
      <c r="BB115" s="70">
        <f t="shared" si="19"/>
        <v>0</v>
      </c>
      <c r="BC115" s="67">
        <f t="shared" si="20"/>
        <v>0</v>
      </c>
      <c r="BD115" s="71">
        <f t="shared" si="21"/>
        <v>0</v>
      </c>
      <c r="BE115" s="19">
        <f t="shared" si="22"/>
        <v>0</v>
      </c>
      <c r="BF115" s="69">
        <f t="shared" si="23"/>
        <v>0</v>
      </c>
      <c r="BH115" s="72">
        <f t="shared" si="24"/>
        <v>42592.57</v>
      </c>
      <c r="BI115" s="73">
        <f t="shared" si="25"/>
        <v>1</v>
      </c>
      <c r="BJ115" s="74">
        <f t="shared" si="26"/>
        <v>3.7865609247881315E-3</v>
      </c>
      <c r="BK115" s="75">
        <f t="shared" si="27"/>
        <v>0</v>
      </c>
      <c r="BM115" s="76">
        <f t="shared" si="28"/>
        <v>1</v>
      </c>
    </row>
    <row r="116" spans="1:65" ht="12.75" customHeight="1" x14ac:dyDescent="0.2">
      <c r="A116" s="47"/>
      <c r="B116" s="48" t="s">
        <v>259</v>
      </c>
      <c r="C116" s="49">
        <v>29100</v>
      </c>
      <c r="D116" s="50">
        <v>12</v>
      </c>
      <c r="E116" s="49">
        <v>27906.46</v>
      </c>
      <c r="F116" s="50" t="s">
        <v>55</v>
      </c>
      <c r="G116" s="51">
        <v>40780</v>
      </c>
      <c r="H116" s="52" t="s">
        <v>56</v>
      </c>
      <c r="I116" s="51">
        <v>40888</v>
      </c>
      <c r="J116" s="52">
        <f t="shared" si="0"/>
        <v>3.6</v>
      </c>
      <c r="K116" s="53" t="s">
        <v>260</v>
      </c>
      <c r="L116" s="53">
        <v>35200</v>
      </c>
      <c r="M116" s="54">
        <v>188.25</v>
      </c>
      <c r="N116" s="54">
        <v>7479.11</v>
      </c>
      <c r="O116" s="54">
        <v>548.6</v>
      </c>
      <c r="P116" s="54">
        <f t="shared" si="35"/>
        <v>0</v>
      </c>
      <c r="Q116" s="54">
        <f t="shared" si="34"/>
        <v>922.41999999999882</v>
      </c>
      <c r="R116" s="55">
        <f t="shared" si="3"/>
        <v>3.3053995383147801E-2</v>
      </c>
      <c r="S116" s="55">
        <f t="shared" si="4"/>
        <v>0.96694600461685221</v>
      </c>
      <c r="T116" s="56"/>
      <c r="V116" s="57"/>
      <c r="W116" s="58"/>
      <c r="X116" s="58"/>
      <c r="Y116" s="58"/>
      <c r="Z116" s="58"/>
      <c r="AA116" s="58"/>
      <c r="AB116" s="58">
        <f t="shared" si="5"/>
        <v>0</v>
      </c>
      <c r="AC116" s="58"/>
      <c r="AD116" s="59"/>
      <c r="AE116" s="60"/>
      <c r="AF116" s="61"/>
      <c r="AG116" s="59"/>
      <c r="AH116" s="60"/>
      <c r="AI116" s="62"/>
      <c r="AJ116" s="62">
        <f t="shared" si="6"/>
        <v>0</v>
      </c>
      <c r="AK116" s="63"/>
      <c r="AL116" s="64">
        <f t="shared" si="7"/>
        <v>0</v>
      </c>
      <c r="AP116" s="65">
        <f t="shared" si="8"/>
        <v>1</v>
      </c>
      <c r="AQ116" s="16">
        <f t="shared" si="9"/>
        <v>1</v>
      </c>
      <c r="AR116" s="16">
        <f t="shared" si="10"/>
        <v>1</v>
      </c>
      <c r="AS116" s="66">
        <f t="shared" si="11"/>
        <v>8027.71</v>
      </c>
      <c r="AT116" s="67">
        <f t="shared" si="12"/>
        <v>27906.46</v>
      </c>
      <c r="AU116" s="68">
        <f t="shared" si="13"/>
        <v>3.6</v>
      </c>
      <c r="AV116" s="19">
        <f t="shared" si="14"/>
        <v>4.0759856897080752E-3</v>
      </c>
      <c r="AW116" s="69">
        <f t="shared" si="15"/>
        <v>1.3472761216938722E-4</v>
      </c>
      <c r="AY116" s="65">
        <f t="shared" si="16"/>
        <v>0</v>
      </c>
      <c r="AZ116" s="16">
        <f t="shared" si="17"/>
        <v>1</v>
      </c>
      <c r="BA116" s="16">
        <f t="shared" si="18"/>
        <v>0</v>
      </c>
      <c r="BB116" s="70">
        <f t="shared" si="19"/>
        <v>0</v>
      </c>
      <c r="BC116" s="67">
        <f t="shared" si="20"/>
        <v>0</v>
      </c>
      <c r="BD116" s="71">
        <f t="shared" si="21"/>
        <v>0</v>
      </c>
      <c r="BE116" s="19">
        <f t="shared" si="22"/>
        <v>0</v>
      </c>
      <c r="BF116" s="69">
        <f t="shared" si="23"/>
        <v>0</v>
      </c>
      <c r="BH116" s="72">
        <f t="shared" si="24"/>
        <v>27906.46</v>
      </c>
      <c r="BI116" s="73">
        <f t="shared" si="25"/>
        <v>1</v>
      </c>
      <c r="BJ116" s="74">
        <f t="shared" si="26"/>
        <v>2.4809376608446732E-3</v>
      </c>
      <c r="BK116" s="75">
        <f t="shared" si="27"/>
        <v>8.2004901987437333E-5</v>
      </c>
      <c r="BM116" s="76">
        <f t="shared" si="28"/>
        <v>1</v>
      </c>
    </row>
    <row r="117" spans="1:65" ht="12.75" customHeight="1" x14ac:dyDescent="0.2">
      <c r="A117" s="47"/>
      <c r="B117" s="48" t="s">
        <v>261</v>
      </c>
      <c r="C117" s="49">
        <v>18931.72</v>
      </c>
      <c r="D117" s="50">
        <v>12</v>
      </c>
      <c r="E117" s="49">
        <v>17852.96</v>
      </c>
      <c r="F117" s="50" t="s">
        <v>63</v>
      </c>
      <c r="G117" s="51">
        <v>40786</v>
      </c>
      <c r="H117" s="52" t="s">
        <v>56</v>
      </c>
      <c r="I117" s="51">
        <v>40967</v>
      </c>
      <c r="J117" s="52">
        <f t="shared" si="0"/>
        <v>6.0333333333333332</v>
      </c>
      <c r="K117" s="53" t="s">
        <v>262</v>
      </c>
      <c r="L117" s="53">
        <v>26500</v>
      </c>
      <c r="M117" s="54">
        <v>553.01</v>
      </c>
      <c r="N117" s="54"/>
      <c r="O117" s="54">
        <v>5303.52</v>
      </c>
      <c r="P117" s="54">
        <f t="shared" si="35"/>
        <v>0</v>
      </c>
      <c r="Q117" s="54">
        <f t="shared" si="34"/>
        <v>0</v>
      </c>
      <c r="R117" s="55">
        <f t="shared" si="3"/>
        <v>0</v>
      </c>
      <c r="S117" s="55">
        <f t="shared" si="4"/>
        <v>1</v>
      </c>
      <c r="T117" s="56"/>
      <c r="V117" s="57"/>
      <c r="W117" s="58"/>
      <c r="X117" s="58"/>
      <c r="Y117" s="58"/>
      <c r="Z117" s="58"/>
      <c r="AA117" s="58"/>
      <c r="AB117" s="58">
        <f t="shared" si="5"/>
        <v>0</v>
      </c>
      <c r="AC117" s="58"/>
      <c r="AD117" s="59"/>
      <c r="AE117" s="60"/>
      <c r="AF117" s="61"/>
      <c r="AG117" s="59"/>
      <c r="AH117" s="60"/>
      <c r="AI117" s="62"/>
      <c r="AJ117" s="62">
        <f t="shared" si="6"/>
        <v>0</v>
      </c>
      <c r="AK117" s="63"/>
      <c r="AL117" s="64">
        <f t="shared" si="7"/>
        <v>0</v>
      </c>
      <c r="AP117" s="65">
        <f t="shared" si="8"/>
        <v>0</v>
      </c>
      <c r="AQ117" s="16">
        <f t="shared" si="9"/>
        <v>1</v>
      </c>
      <c r="AR117" s="16">
        <f t="shared" si="10"/>
        <v>0</v>
      </c>
      <c r="AS117" s="66">
        <f t="shared" si="11"/>
        <v>0</v>
      </c>
      <c r="AT117" s="67">
        <f t="shared" si="12"/>
        <v>0</v>
      </c>
      <c r="AU117" s="68">
        <f t="shared" si="13"/>
        <v>0</v>
      </c>
      <c r="AV117" s="19">
        <f t="shared" si="14"/>
        <v>0</v>
      </c>
      <c r="AW117" s="69">
        <f t="shared" si="15"/>
        <v>0</v>
      </c>
      <c r="AY117" s="65">
        <f t="shared" si="16"/>
        <v>1</v>
      </c>
      <c r="AZ117" s="16">
        <f t="shared" si="17"/>
        <v>1</v>
      </c>
      <c r="BA117" s="16">
        <f t="shared" si="18"/>
        <v>1</v>
      </c>
      <c r="BB117" s="70">
        <f t="shared" si="19"/>
        <v>5303.52</v>
      </c>
      <c r="BC117" s="67">
        <f t="shared" si="20"/>
        <v>17852.96</v>
      </c>
      <c r="BD117" s="71">
        <f t="shared" si="21"/>
        <v>6.0333333333333332</v>
      </c>
      <c r="BE117" s="19">
        <f t="shared" si="22"/>
        <v>4.0558344602083319E-3</v>
      </c>
      <c r="BF117" s="69">
        <f t="shared" si="23"/>
        <v>0</v>
      </c>
      <c r="BH117" s="72">
        <f t="shared" si="24"/>
        <v>17852.96</v>
      </c>
      <c r="BI117" s="73">
        <f t="shared" si="25"/>
        <v>1</v>
      </c>
      <c r="BJ117" s="74">
        <f t="shared" si="26"/>
        <v>1.5871622850606459E-3</v>
      </c>
      <c r="BK117" s="75">
        <f t="shared" si="27"/>
        <v>0</v>
      </c>
      <c r="BM117" s="76">
        <f t="shared" si="28"/>
        <v>1</v>
      </c>
    </row>
    <row r="118" spans="1:65" ht="12.75" customHeight="1" x14ac:dyDescent="0.2">
      <c r="A118" s="47"/>
      <c r="B118" s="48" t="s">
        <v>263</v>
      </c>
      <c r="C118" s="49">
        <v>24681.3</v>
      </c>
      <c r="D118" s="50">
        <v>13</v>
      </c>
      <c r="E118" s="49">
        <v>21541.97</v>
      </c>
      <c r="F118" s="50" t="s">
        <v>63</v>
      </c>
      <c r="G118" s="51">
        <v>40797</v>
      </c>
      <c r="H118" s="52" t="s">
        <v>56</v>
      </c>
      <c r="I118" s="51">
        <v>40939</v>
      </c>
      <c r="J118" s="52">
        <f t="shared" si="0"/>
        <v>4.7333333333333334</v>
      </c>
      <c r="K118" s="53" t="s">
        <v>264</v>
      </c>
      <c r="L118" s="53">
        <v>38000</v>
      </c>
      <c r="M118" s="54">
        <v>223.83</v>
      </c>
      <c r="N118" s="54"/>
      <c r="O118" s="54">
        <v>4557.12</v>
      </c>
      <c r="P118" s="54">
        <f t="shared" si="35"/>
        <v>0</v>
      </c>
      <c r="Q118" s="54">
        <f t="shared" si="34"/>
        <v>0</v>
      </c>
      <c r="R118" s="55">
        <f t="shared" si="3"/>
        <v>0</v>
      </c>
      <c r="S118" s="55">
        <f t="shared" si="4"/>
        <v>1</v>
      </c>
      <c r="T118" s="56"/>
      <c r="V118" s="57"/>
      <c r="W118" s="58"/>
      <c r="X118" s="58"/>
      <c r="Y118" s="58"/>
      <c r="Z118" s="58"/>
      <c r="AA118" s="58"/>
      <c r="AB118" s="58">
        <f t="shared" si="5"/>
        <v>0</v>
      </c>
      <c r="AC118" s="58"/>
      <c r="AD118" s="59"/>
      <c r="AE118" s="60"/>
      <c r="AF118" s="61"/>
      <c r="AG118" s="59"/>
      <c r="AH118" s="60"/>
      <c r="AI118" s="62"/>
      <c r="AJ118" s="62">
        <f t="shared" si="6"/>
        <v>0</v>
      </c>
      <c r="AK118" s="63"/>
      <c r="AL118" s="64">
        <f t="shared" si="7"/>
        <v>0</v>
      </c>
      <c r="AP118" s="65">
        <f t="shared" si="8"/>
        <v>0</v>
      </c>
      <c r="AQ118" s="16">
        <f t="shared" si="9"/>
        <v>1</v>
      </c>
      <c r="AR118" s="16">
        <f t="shared" si="10"/>
        <v>0</v>
      </c>
      <c r="AS118" s="66">
        <f t="shared" si="11"/>
        <v>0</v>
      </c>
      <c r="AT118" s="67">
        <f t="shared" si="12"/>
        <v>0</v>
      </c>
      <c r="AU118" s="68">
        <f t="shared" si="13"/>
        <v>0</v>
      </c>
      <c r="AV118" s="19">
        <f t="shared" si="14"/>
        <v>0</v>
      </c>
      <c r="AW118" s="69">
        <f t="shared" si="15"/>
        <v>0</v>
      </c>
      <c r="AY118" s="65">
        <f t="shared" si="16"/>
        <v>1</v>
      </c>
      <c r="AZ118" s="16">
        <f t="shared" si="17"/>
        <v>1</v>
      </c>
      <c r="BA118" s="16">
        <f t="shared" si="18"/>
        <v>1</v>
      </c>
      <c r="BB118" s="70">
        <f t="shared" si="19"/>
        <v>4557.12</v>
      </c>
      <c r="BC118" s="67">
        <f t="shared" si="20"/>
        <v>21541.97</v>
      </c>
      <c r="BD118" s="71">
        <f t="shared" si="21"/>
        <v>4.7333333333333334</v>
      </c>
      <c r="BE118" s="19">
        <f t="shared" si="22"/>
        <v>4.8939035469061764E-3</v>
      </c>
      <c r="BF118" s="69">
        <f t="shared" si="23"/>
        <v>0</v>
      </c>
      <c r="BH118" s="72">
        <f t="shared" si="24"/>
        <v>21541.97</v>
      </c>
      <c r="BI118" s="73">
        <f t="shared" si="25"/>
        <v>1</v>
      </c>
      <c r="BJ118" s="74">
        <f t="shared" si="26"/>
        <v>1.9151223287291231E-3</v>
      </c>
      <c r="BK118" s="75">
        <f t="shared" si="27"/>
        <v>0</v>
      </c>
      <c r="BM118" s="76">
        <f t="shared" si="28"/>
        <v>1</v>
      </c>
    </row>
    <row r="119" spans="1:65" ht="12.75" customHeight="1" x14ac:dyDescent="0.2">
      <c r="A119" s="47"/>
      <c r="B119" s="48" t="s">
        <v>265</v>
      </c>
      <c r="C119" s="49">
        <v>19116.38</v>
      </c>
      <c r="D119" s="50">
        <v>13</v>
      </c>
      <c r="E119" s="49">
        <v>17154.62</v>
      </c>
      <c r="F119" s="50" t="s">
        <v>63</v>
      </c>
      <c r="G119" s="51">
        <v>40797</v>
      </c>
      <c r="H119" s="52" t="s">
        <v>56</v>
      </c>
      <c r="I119" s="51">
        <v>40999</v>
      </c>
      <c r="J119" s="52">
        <f t="shared" si="0"/>
        <v>6.7333333333333334</v>
      </c>
      <c r="K119" s="53" t="s">
        <v>266</v>
      </c>
      <c r="L119" s="53">
        <v>27500</v>
      </c>
      <c r="M119" s="54">
        <v>385.37</v>
      </c>
      <c r="N119" s="54"/>
      <c r="O119" s="54">
        <v>309.25</v>
      </c>
      <c r="P119" s="54">
        <f t="shared" si="35"/>
        <v>0</v>
      </c>
      <c r="Q119" s="54">
        <f t="shared" si="34"/>
        <v>0</v>
      </c>
      <c r="R119" s="55">
        <f t="shared" si="3"/>
        <v>0</v>
      </c>
      <c r="S119" s="55">
        <f t="shared" si="4"/>
        <v>1</v>
      </c>
      <c r="T119" s="56"/>
      <c r="V119" s="57"/>
      <c r="W119" s="58"/>
      <c r="X119" s="58"/>
      <c r="Y119" s="58"/>
      <c r="Z119" s="58"/>
      <c r="AA119" s="58"/>
      <c r="AB119" s="58">
        <f t="shared" si="5"/>
        <v>0</v>
      </c>
      <c r="AC119" s="58"/>
      <c r="AD119" s="59"/>
      <c r="AE119" s="60"/>
      <c r="AF119" s="61"/>
      <c r="AG119" s="59"/>
      <c r="AH119" s="60"/>
      <c r="AI119" s="62"/>
      <c r="AJ119" s="62">
        <f t="shared" si="6"/>
        <v>0</v>
      </c>
      <c r="AK119" s="63"/>
      <c r="AL119" s="64">
        <f t="shared" si="7"/>
        <v>0</v>
      </c>
      <c r="AP119" s="65">
        <f t="shared" si="8"/>
        <v>0</v>
      </c>
      <c r="AQ119" s="16">
        <f t="shared" si="9"/>
        <v>1</v>
      </c>
      <c r="AR119" s="16">
        <f t="shared" si="10"/>
        <v>0</v>
      </c>
      <c r="AS119" s="66">
        <f t="shared" si="11"/>
        <v>0</v>
      </c>
      <c r="AT119" s="67">
        <f t="shared" si="12"/>
        <v>0</v>
      </c>
      <c r="AU119" s="68">
        <f t="shared" si="13"/>
        <v>0</v>
      </c>
      <c r="AV119" s="19">
        <f t="shared" si="14"/>
        <v>0</v>
      </c>
      <c r="AW119" s="69">
        <f t="shared" si="15"/>
        <v>0</v>
      </c>
      <c r="AY119" s="65">
        <f t="shared" si="16"/>
        <v>1</v>
      </c>
      <c r="AZ119" s="16">
        <f t="shared" si="17"/>
        <v>1</v>
      </c>
      <c r="BA119" s="16">
        <f t="shared" si="18"/>
        <v>1</v>
      </c>
      <c r="BB119" s="70">
        <f t="shared" si="19"/>
        <v>309.25</v>
      </c>
      <c r="BC119" s="67">
        <f t="shared" si="20"/>
        <v>17154.62</v>
      </c>
      <c r="BD119" s="71">
        <f t="shared" si="21"/>
        <v>6.7333333333333334</v>
      </c>
      <c r="BE119" s="19">
        <f t="shared" si="22"/>
        <v>3.8971856178347487E-3</v>
      </c>
      <c r="BF119" s="69">
        <f t="shared" si="23"/>
        <v>0</v>
      </c>
      <c r="BH119" s="72">
        <f t="shared" si="24"/>
        <v>17154.62</v>
      </c>
      <c r="BI119" s="73">
        <f t="shared" si="25"/>
        <v>1</v>
      </c>
      <c r="BJ119" s="74">
        <f t="shared" si="26"/>
        <v>1.5250785235920014E-3</v>
      </c>
      <c r="BK119" s="75">
        <f t="shared" si="27"/>
        <v>0</v>
      </c>
      <c r="BM119" s="76">
        <f t="shared" si="28"/>
        <v>1</v>
      </c>
    </row>
    <row r="120" spans="1:65" ht="12.75" customHeight="1" x14ac:dyDescent="0.2">
      <c r="A120" s="47"/>
      <c r="B120" s="48" t="s">
        <v>267</v>
      </c>
      <c r="C120" s="49">
        <v>40452.51</v>
      </c>
      <c r="D120" s="50">
        <v>13</v>
      </c>
      <c r="E120" s="49">
        <f>27678.14+12318.97</f>
        <v>39997.11</v>
      </c>
      <c r="F120" s="50" t="s">
        <v>55</v>
      </c>
      <c r="G120" s="51">
        <v>40816</v>
      </c>
      <c r="H120" s="52" t="s">
        <v>56</v>
      </c>
      <c r="I120" s="51">
        <v>41030</v>
      </c>
      <c r="J120" s="52">
        <f t="shared" si="0"/>
        <v>7.1333333333333337</v>
      </c>
      <c r="K120" s="53" t="s">
        <v>180</v>
      </c>
      <c r="L120" s="53">
        <v>60000</v>
      </c>
      <c r="M120" s="54">
        <v>1448.39</v>
      </c>
      <c r="N120" s="54">
        <v>5120.04</v>
      </c>
      <c r="O120" s="54">
        <v>0</v>
      </c>
      <c r="P120" s="54">
        <v>1618.2</v>
      </c>
      <c r="Q120" s="54">
        <f t="shared" si="34"/>
        <v>0</v>
      </c>
      <c r="R120" s="55">
        <f t="shared" si="3"/>
        <v>0</v>
      </c>
      <c r="S120" s="55">
        <f t="shared" si="4"/>
        <v>1</v>
      </c>
      <c r="T120" s="56"/>
      <c r="V120" s="57"/>
      <c r="W120" s="58"/>
      <c r="X120" s="58"/>
      <c r="Y120" s="58"/>
      <c r="Z120" s="58"/>
      <c r="AA120" s="58"/>
      <c r="AB120" s="58">
        <f t="shared" si="5"/>
        <v>0</v>
      </c>
      <c r="AC120" s="58"/>
      <c r="AD120" s="59"/>
      <c r="AE120" s="60"/>
      <c r="AF120" s="61"/>
      <c r="AG120" s="59"/>
      <c r="AH120" s="60"/>
      <c r="AI120" s="62"/>
      <c r="AJ120" s="62">
        <f t="shared" si="6"/>
        <v>0</v>
      </c>
      <c r="AK120" s="63"/>
      <c r="AL120" s="64">
        <f t="shared" si="7"/>
        <v>0</v>
      </c>
      <c r="AP120" s="65">
        <f t="shared" si="8"/>
        <v>1</v>
      </c>
      <c r="AQ120" s="16">
        <f t="shared" si="9"/>
        <v>1</v>
      </c>
      <c r="AR120" s="16">
        <f t="shared" si="10"/>
        <v>1</v>
      </c>
      <c r="AS120" s="66">
        <f t="shared" si="11"/>
        <v>5120.04</v>
      </c>
      <c r="AT120" s="67">
        <f t="shared" si="12"/>
        <v>39997.11</v>
      </c>
      <c r="AU120" s="68">
        <f t="shared" si="13"/>
        <v>7.1333333333333337</v>
      </c>
      <c r="AV120" s="19">
        <f t="shared" si="14"/>
        <v>5.8419322260752447E-3</v>
      </c>
      <c r="AW120" s="69">
        <f t="shared" si="15"/>
        <v>0</v>
      </c>
      <c r="AY120" s="65">
        <f t="shared" si="16"/>
        <v>0</v>
      </c>
      <c r="AZ120" s="16">
        <f t="shared" si="17"/>
        <v>1</v>
      </c>
      <c r="BA120" s="16">
        <f t="shared" si="18"/>
        <v>0</v>
      </c>
      <c r="BB120" s="70">
        <f t="shared" si="19"/>
        <v>0</v>
      </c>
      <c r="BC120" s="67">
        <f t="shared" si="20"/>
        <v>0</v>
      </c>
      <c r="BD120" s="71">
        <f t="shared" si="21"/>
        <v>0</v>
      </c>
      <c r="BE120" s="19">
        <f t="shared" si="22"/>
        <v>0</v>
      </c>
      <c r="BF120" s="69">
        <f t="shared" si="23"/>
        <v>0</v>
      </c>
      <c r="BH120" s="72">
        <f t="shared" si="24"/>
        <v>39997.11</v>
      </c>
      <c r="BI120" s="73">
        <f t="shared" si="25"/>
        <v>1</v>
      </c>
      <c r="BJ120" s="74">
        <f t="shared" si="26"/>
        <v>3.555819567367093E-3</v>
      </c>
      <c r="BK120" s="75">
        <f t="shared" si="27"/>
        <v>0</v>
      </c>
      <c r="BM120" s="76">
        <f t="shared" si="28"/>
        <v>1</v>
      </c>
    </row>
    <row r="121" spans="1:65" ht="12.75" customHeight="1" x14ac:dyDescent="0.2">
      <c r="A121" s="47"/>
      <c r="B121" s="48" t="s">
        <v>268</v>
      </c>
      <c r="C121" s="49">
        <v>19562.400000000001</v>
      </c>
      <c r="D121" s="50">
        <v>13</v>
      </c>
      <c r="E121" s="49">
        <v>18202.47</v>
      </c>
      <c r="F121" s="50" t="s">
        <v>55</v>
      </c>
      <c r="G121" s="51">
        <v>40828</v>
      </c>
      <c r="H121" s="52" t="s">
        <v>56</v>
      </c>
      <c r="I121" s="51">
        <v>40888</v>
      </c>
      <c r="J121" s="52">
        <f t="shared" si="0"/>
        <v>2</v>
      </c>
      <c r="K121" s="53" t="s">
        <v>269</v>
      </c>
      <c r="L121" s="53">
        <v>28000</v>
      </c>
      <c r="M121" s="54">
        <v>757.77</v>
      </c>
      <c r="N121" s="54">
        <v>3305.31</v>
      </c>
      <c r="O121" s="54">
        <v>2940.83</v>
      </c>
      <c r="P121" s="54">
        <f t="shared" ref="P121:P136" si="36">IF(L121="N/A",0,IF(L121-E121&gt;0,0,E121-L121))</f>
        <v>0</v>
      </c>
      <c r="Q121" s="54">
        <f t="shared" si="34"/>
        <v>0</v>
      </c>
      <c r="R121" s="55">
        <f t="shared" si="3"/>
        <v>0</v>
      </c>
      <c r="S121" s="55">
        <f t="shared" si="4"/>
        <v>1</v>
      </c>
      <c r="T121" s="56"/>
      <c r="V121" s="57"/>
      <c r="W121" s="58"/>
      <c r="X121" s="58"/>
      <c r="Y121" s="58"/>
      <c r="Z121" s="58"/>
      <c r="AA121" s="58"/>
      <c r="AB121" s="58">
        <f t="shared" si="5"/>
        <v>0</v>
      </c>
      <c r="AC121" s="58"/>
      <c r="AD121" s="59"/>
      <c r="AE121" s="60"/>
      <c r="AF121" s="61"/>
      <c r="AG121" s="59"/>
      <c r="AH121" s="60"/>
      <c r="AI121" s="62"/>
      <c r="AJ121" s="62">
        <f t="shared" si="6"/>
        <v>0</v>
      </c>
      <c r="AK121" s="63"/>
      <c r="AL121" s="64">
        <f t="shared" si="7"/>
        <v>0</v>
      </c>
      <c r="AP121" s="65">
        <f t="shared" si="8"/>
        <v>1</v>
      </c>
      <c r="AQ121" s="16">
        <f t="shared" si="9"/>
        <v>1</v>
      </c>
      <c r="AR121" s="16">
        <f t="shared" si="10"/>
        <v>1</v>
      </c>
      <c r="AS121" s="66">
        <f t="shared" si="11"/>
        <v>6246.1399999999994</v>
      </c>
      <c r="AT121" s="67">
        <f t="shared" si="12"/>
        <v>18202.47</v>
      </c>
      <c r="AU121" s="68">
        <f t="shared" si="13"/>
        <v>2</v>
      </c>
      <c r="AV121" s="19">
        <f t="shared" si="14"/>
        <v>2.6586319883403538E-3</v>
      </c>
      <c r="AW121" s="69">
        <f t="shared" si="15"/>
        <v>0</v>
      </c>
      <c r="AY121" s="65">
        <f t="shared" si="16"/>
        <v>0</v>
      </c>
      <c r="AZ121" s="16">
        <f t="shared" si="17"/>
        <v>1</v>
      </c>
      <c r="BA121" s="16">
        <f t="shared" si="18"/>
        <v>0</v>
      </c>
      <c r="BB121" s="70">
        <f t="shared" si="19"/>
        <v>0</v>
      </c>
      <c r="BC121" s="67">
        <f t="shared" si="20"/>
        <v>0</v>
      </c>
      <c r="BD121" s="71">
        <f t="shared" si="21"/>
        <v>0</v>
      </c>
      <c r="BE121" s="19">
        <f t="shared" si="22"/>
        <v>0</v>
      </c>
      <c r="BF121" s="69">
        <f t="shared" si="23"/>
        <v>0</v>
      </c>
      <c r="BH121" s="72">
        <f t="shared" si="24"/>
        <v>18202.47</v>
      </c>
      <c r="BI121" s="73">
        <f t="shared" si="25"/>
        <v>1</v>
      </c>
      <c r="BJ121" s="74">
        <f t="shared" si="26"/>
        <v>1.6182343924451665E-3</v>
      </c>
      <c r="BK121" s="75">
        <f t="shared" si="27"/>
        <v>0</v>
      </c>
      <c r="BM121" s="76">
        <f t="shared" si="28"/>
        <v>1</v>
      </c>
    </row>
    <row r="122" spans="1:65" ht="12.75" customHeight="1" x14ac:dyDescent="0.2">
      <c r="A122" s="47"/>
      <c r="B122" s="48" t="s">
        <v>270</v>
      </c>
      <c r="C122" s="49">
        <v>19562.400000000001</v>
      </c>
      <c r="D122" s="50">
        <v>13</v>
      </c>
      <c r="E122" s="49">
        <v>16946.79</v>
      </c>
      <c r="F122" s="50" t="s">
        <v>63</v>
      </c>
      <c r="G122" s="51">
        <v>40858</v>
      </c>
      <c r="H122" s="52" t="s">
        <v>56</v>
      </c>
      <c r="I122" s="51">
        <v>41090</v>
      </c>
      <c r="J122" s="52">
        <f t="shared" si="0"/>
        <v>7.7333333333333334</v>
      </c>
      <c r="K122" s="53" t="s">
        <v>271</v>
      </c>
      <c r="L122" s="53">
        <v>26068</v>
      </c>
      <c r="M122" s="54">
        <v>311.06</v>
      </c>
      <c r="N122" s="54"/>
      <c r="O122" s="54"/>
      <c r="P122" s="54">
        <f t="shared" si="36"/>
        <v>0</v>
      </c>
      <c r="Q122" s="54">
        <f t="shared" si="34"/>
        <v>0</v>
      </c>
      <c r="R122" s="55">
        <f t="shared" si="3"/>
        <v>0</v>
      </c>
      <c r="S122" s="55">
        <f t="shared" si="4"/>
        <v>1</v>
      </c>
      <c r="T122" s="56"/>
      <c r="V122" s="57"/>
      <c r="W122" s="58"/>
      <c r="X122" s="58"/>
      <c r="Y122" s="58"/>
      <c r="Z122" s="58"/>
      <c r="AA122" s="58"/>
      <c r="AB122" s="58">
        <f t="shared" si="5"/>
        <v>0</v>
      </c>
      <c r="AC122" s="58"/>
      <c r="AD122" s="59"/>
      <c r="AE122" s="60"/>
      <c r="AF122" s="61"/>
      <c r="AG122" s="59"/>
      <c r="AH122" s="60"/>
      <c r="AI122" s="62"/>
      <c r="AJ122" s="62">
        <f t="shared" si="6"/>
        <v>0</v>
      </c>
      <c r="AK122" s="63"/>
      <c r="AL122" s="64">
        <f t="shared" si="7"/>
        <v>0</v>
      </c>
      <c r="AP122" s="65">
        <f t="shared" si="8"/>
        <v>0</v>
      </c>
      <c r="AQ122" s="16">
        <f t="shared" si="9"/>
        <v>1</v>
      </c>
      <c r="AR122" s="16">
        <f t="shared" si="10"/>
        <v>0</v>
      </c>
      <c r="AS122" s="66">
        <f t="shared" si="11"/>
        <v>0</v>
      </c>
      <c r="AT122" s="67">
        <f t="shared" si="12"/>
        <v>0</v>
      </c>
      <c r="AU122" s="68">
        <f t="shared" si="13"/>
        <v>0</v>
      </c>
      <c r="AV122" s="19">
        <f t="shared" si="14"/>
        <v>0</v>
      </c>
      <c r="AW122" s="69">
        <f t="shared" si="15"/>
        <v>0</v>
      </c>
      <c r="AY122" s="65">
        <f t="shared" si="16"/>
        <v>1</v>
      </c>
      <c r="AZ122" s="16">
        <f t="shared" si="17"/>
        <v>1</v>
      </c>
      <c r="BA122" s="16">
        <f t="shared" si="18"/>
        <v>1</v>
      </c>
      <c r="BB122" s="70">
        <f t="shared" si="19"/>
        <v>0</v>
      </c>
      <c r="BC122" s="67">
        <f t="shared" si="20"/>
        <v>16946.79</v>
      </c>
      <c r="BD122" s="71">
        <f t="shared" si="21"/>
        <v>7.7333333333333334</v>
      </c>
      <c r="BE122" s="19">
        <f t="shared" si="22"/>
        <v>3.8499708099897141E-3</v>
      </c>
      <c r="BF122" s="69">
        <f t="shared" si="23"/>
        <v>0</v>
      </c>
      <c r="BH122" s="72">
        <f t="shared" si="24"/>
        <v>16946.79</v>
      </c>
      <c r="BI122" s="73">
        <f t="shared" si="25"/>
        <v>1</v>
      </c>
      <c r="BJ122" s="74">
        <f t="shared" si="26"/>
        <v>1.5066020391488529E-3</v>
      </c>
      <c r="BK122" s="75">
        <f t="shared" si="27"/>
        <v>0</v>
      </c>
      <c r="BM122" s="76">
        <f t="shared" si="28"/>
        <v>1</v>
      </c>
    </row>
    <row r="123" spans="1:65" ht="12.75" customHeight="1" x14ac:dyDescent="0.2">
      <c r="A123" s="47"/>
      <c r="B123" s="48" t="s">
        <v>272</v>
      </c>
      <c r="C123" s="49">
        <v>33170.050000000003</v>
      </c>
      <c r="D123" s="50">
        <v>13</v>
      </c>
      <c r="E123" s="49">
        <f>30906.15-7479.39</f>
        <v>23426.760000000002</v>
      </c>
      <c r="F123" s="50" t="s">
        <v>55</v>
      </c>
      <c r="G123" s="51">
        <v>40870</v>
      </c>
      <c r="H123" s="52" t="s">
        <v>56</v>
      </c>
      <c r="I123" s="51">
        <v>40939</v>
      </c>
      <c r="J123" s="52">
        <f t="shared" si="0"/>
        <v>2.2999999999999998</v>
      </c>
      <c r="K123" s="53" t="s">
        <v>273</v>
      </c>
      <c r="L123" s="53">
        <v>37700</v>
      </c>
      <c r="M123" s="54">
        <v>155.86000000000001</v>
      </c>
      <c r="N123" s="54">
        <v>11428.5</v>
      </c>
      <c r="O123" s="54">
        <v>2536.42</v>
      </c>
      <c r="P123" s="54">
        <f t="shared" si="36"/>
        <v>0</v>
      </c>
      <c r="Q123" s="54">
        <f t="shared" si="34"/>
        <v>0</v>
      </c>
      <c r="R123" s="55">
        <f t="shared" si="3"/>
        <v>0</v>
      </c>
      <c r="S123" s="55">
        <f t="shared" si="4"/>
        <v>1</v>
      </c>
      <c r="T123" s="56"/>
      <c r="V123" s="57"/>
      <c r="W123" s="58"/>
      <c r="X123" s="58"/>
      <c r="Y123" s="58"/>
      <c r="Z123" s="58"/>
      <c r="AA123" s="58"/>
      <c r="AB123" s="58">
        <f t="shared" si="5"/>
        <v>0</v>
      </c>
      <c r="AC123" s="58"/>
      <c r="AD123" s="59"/>
      <c r="AE123" s="60"/>
      <c r="AF123" s="61"/>
      <c r="AG123" s="59"/>
      <c r="AH123" s="60"/>
      <c r="AI123" s="62"/>
      <c r="AJ123" s="62">
        <f t="shared" si="6"/>
        <v>0</v>
      </c>
      <c r="AK123" s="63"/>
      <c r="AL123" s="64">
        <f t="shared" si="7"/>
        <v>0</v>
      </c>
      <c r="AP123" s="65">
        <f t="shared" si="8"/>
        <v>1</v>
      </c>
      <c r="AQ123" s="16">
        <f t="shared" si="9"/>
        <v>1</v>
      </c>
      <c r="AR123" s="16">
        <f t="shared" si="10"/>
        <v>1</v>
      </c>
      <c r="AS123" s="66">
        <f t="shared" si="11"/>
        <v>13964.92</v>
      </c>
      <c r="AT123" s="67">
        <f t="shared" si="12"/>
        <v>23426.760000000002</v>
      </c>
      <c r="AU123" s="68">
        <f t="shared" si="13"/>
        <v>2.2999999999999998</v>
      </c>
      <c r="AV123" s="19">
        <f t="shared" si="14"/>
        <v>3.4216858217138812E-3</v>
      </c>
      <c r="AW123" s="69">
        <f t="shared" si="15"/>
        <v>0</v>
      </c>
      <c r="AY123" s="65">
        <f t="shared" si="16"/>
        <v>0</v>
      </c>
      <c r="AZ123" s="16">
        <f t="shared" si="17"/>
        <v>1</v>
      </c>
      <c r="BA123" s="16">
        <f t="shared" si="18"/>
        <v>0</v>
      </c>
      <c r="BB123" s="70">
        <f t="shared" si="19"/>
        <v>0</v>
      </c>
      <c r="BC123" s="67">
        <f t="shared" si="20"/>
        <v>0</v>
      </c>
      <c r="BD123" s="71">
        <f t="shared" si="21"/>
        <v>0</v>
      </c>
      <c r="BE123" s="19">
        <f t="shared" si="22"/>
        <v>0</v>
      </c>
      <c r="BF123" s="69">
        <f t="shared" si="23"/>
        <v>0</v>
      </c>
      <c r="BH123" s="72">
        <f t="shared" si="24"/>
        <v>23426.760000000002</v>
      </c>
      <c r="BI123" s="73">
        <f t="shared" si="25"/>
        <v>1</v>
      </c>
      <c r="BJ123" s="74">
        <f t="shared" si="26"/>
        <v>2.0826837641022746E-3</v>
      </c>
      <c r="BK123" s="75">
        <f t="shared" si="27"/>
        <v>0</v>
      </c>
      <c r="BM123" s="76">
        <f t="shared" si="28"/>
        <v>1</v>
      </c>
    </row>
    <row r="124" spans="1:65" ht="12.75" customHeight="1" x14ac:dyDescent="0.2">
      <c r="A124" s="47"/>
      <c r="B124" s="48" t="s">
        <v>274</v>
      </c>
      <c r="C124" s="49">
        <v>35100</v>
      </c>
      <c r="D124" s="50">
        <v>13</v>
      </c>
      <c r="E124" s="49">
        <v>33342.54</v>
      </c>
      <c r="F124" s="50" t="s">
        <v>63</v>
      </c>
      <c r="G124" s="51">
        <v>40999</v>
      </c>
      <c r="H124" s="52" t="s">
        <v>56</v>
      </c>
      <c r="I124" s="51">
        <v>41061</v>
      </c>
      <c r="J124" s="52">
        <f t="shared" si="0"/>
        <v>2.0666666666666669</v>
      </c>
      <c r="K124" s="53" t="s">
        <v>275</v>
      </c>
      <c r="L124" s="53">
        <v>48000</v>
      </c>
      <c r="M124" s="54">
        <v>855.46</v>
      </c>
      <c r="N124" s="54"/>
      <c r="O124" s="54">
        <v>7036.8</v>
      </c>
      <c r="P124" s="54">
        <f t="shared" si="36"/>
        <v>0</v>
      </c>
      <c r="Q124" s="54">
        <f t="shared" si="34"/>
        <v>0</v>
      </c>
      <c r="R124" s="55">
        <f t="shared" si="3"/>
        <v>0</v>
      </c>
      <c r="S124" s="55">
        <f t="shared" si="4"/>
        <v>1</v>
      </c>
      <c r="T124" s="56"/>
      <c r="V124" s="57"/>
      <c r="W124" s="58"/>
      <c r="X124" s="58"/>
      <c r="Y124" s="58"/>
      <c r="Z124" s="58"/>
      <c r="AA124" s="58"/>
      <c r="AB124" s="58">
        <f t="shared" si="5"/>
        <v>0</v>
      </c>
      <c r="AC124" s="58"/>
      <c r="AD124" s="59"/>
      <c r="AE124" s="60"/>
      <c r="AF124" s="61"/>
      <c r="AG124" s="59"/>
      <c r="AH124" s="60"/>
      <c r="AI124" s="62"/>
      <c r="AJ124" s="62">
        <f t="shared" si="6"/>
        <v>0</v>
      </c>
      <c r="AK124" s="63"/>
      <c r="AL124" s="64">
        <f t="shared" si="7"/>
        <v>0</v>
      </c>
      <c r="AP124" s="65">
        <f t="shared" si="8"/>
        <v>0</v>
      </c>
      <c r="AQ124" s="16">
        <f t="shared" si="9"/>
        <v>1</v>
      </c>
      <c r="AR124" s="16">
        <f t="shared" si="10"/>
        <v>0</v>
      </c>
      <c r="AS124" s="66">
        <f t="shared" si="11"/>
        <v>0</v>
      </c>
      <c r="AT124" s="67">
        <f t="shared" si="12"/>
        <v>0</v>
      </c>
      <c r="AU124" s="68">
        <f t="shared" si="13"/>
        <v>0</v>
      </c>
      <c r="AV124" s="19">
        <f t="shared" si="14"/>
        <v>0</v>
      </c>
      <c r="AW124" s="69">
        <f t="shared" si="15"/>
        <v>0</v>
      </c>
      <c r="AY124" s="65">
        <f t="shared" si="16"/>
        <v>1</v>
      </c>
      <c r="AZ124" s="16">
        <f t="shared" si="17"/>
        <v>1</v>
      </c>
      <c r="BA124" s="16">
        <f t="shared" si="18"/>
        <v>1</v>
      </c>
      <c r="BB124" s="70">
        <f t="shared" si="19"/>
        <v>7036.8</v>
      </c>
      <c r="BC124" s="67">
        <f t="shared" si="20"/>
        <v>33342.54</v>
      </c>
      <c r="BD124" s="71">
        <f t="shared" si="21"/>
        <v>2.0666666666666669</v>
      </c>
      <c r="BE124" s="19">
        <f t="shared" si="22"/>
        <v>7.5747563834162365E-3</v>
      </c>
      <c r="BF124" s="69">
        <f t="shared" si="23"/>
        <v>0</v>
      </c>
      <c r="BH124" s="72">
        <f t="shared" si="24"/>
        <v>33342.54</v>
      </c>
      <c r="BI124" s="73">
        <f t="shared" si="25"/>
        <v>1</v>
      </c>
      <c r="BJ124" s="74">
        <f t="shared" si="26"/>
        <v>2.9642155685178253E-3</v>
      </c>
      <c r="BK124" s="75">
        <f t="shared" si="27"/>
        <v>0</v>
      </c>
      <c r="BM124" s="76">
        <f t="shared" si="28"/>
        <v>1</v>
      </c>
    </row>
    <row r="125" spans="1:65" ht="12.75" customHeight="1" x14ac:dyDescent="0.2">
      <c r="A125" s="47"/>
      <c r="B125" s="48" t="s">
        <v>276</v>
      </c>
      <c r="C125" s="49">
        <v>31038</v>
      </c>
      <c r="D125" s="50">
        <v>13</v>
      </c>
      <c r="E125" s="49">
        <v>27270.51</v>
      </c>
      <c r="F125" s="50" t="s">
        <v>63</v>
      </c>
      <c r="G125" s="51">
        <v>40999</v>
      </c>
      <c r="H125" s="52" t="s">
        <v>56</v>
      </c>
      <c r="I125" s="51">
        <v>41088</v>
      </c>
      <c r="J125" s="52">
        <f t="shared" si="0"/>
        <v>2.9666666666666668</v>
      </c>
      <c r="K125" s="53" t="s">
        <v>277</v>
      </c>
      <c r="L125" s="53">
        <v>52000</v>
      </c>
      <c r="M125" s="54">
        <v>1728.15</v>
      </c>
      <c r="N125" s="54"/>
      <c r="O125" s="54">
        <v>4477.6499999999996</v>
      </c>
      <c r="P125" s="54">
        <f t="shared" si="36"/>
        <v>0</v>
      </c>
      <c r="Q125" s="54">
        <f t="shared" si="34"/>
        <v>0</v>
      </c>
      <c r="R125" s="55">
        <f t="shared" si="3"/>
        <v>0</v>
      </c>
      <c r="S125" s="55">
        <f t="shared" si="4"/>
        <v>1</v>
      </c>
      <c r="T125" s="56"/>
      <c r="V125" s="57"/>
      <c r="W125" s="58"/>
      <c r="X125" s="58"/>
      <c r="Y125" s="58"/>
      <c r="Z125" s="58"/>
      <c r="AA125" s="58"/>
      <c r="AB125" s="58">
        <f t="shared" si="5"/>
        <v>0</v>
      </c>
      <c r="AC125" s="58"/>
      <c r="AD125" s="59"/>
      <c r="AE125" s="60"/>
      <c r="AF125" s="61"/>
      <c r="AG125" s="59"/>
      <c r="AH125" s="60"/>
      <c r="AI125" s="62"/>
      <c r="AJ125" s="62">
        <f t="shared" si="6"/>
        <v>0</v>
      </c>
      <c r="AK125" s="63"/>
      <c r="AL125" s="64">
        <f t="shared" si="7"/>
        <v>0</v>
      </c>
      <c r="AP125" s="65">
        <f t="shared" si="8"/>
        <v>0</v>
      </c>
      <c r="AQ125" s="16">
        <f t="shared" si="9"/>
        <v>1</v>
      </c>
      <c r="AR125" s="16">
        <f t="shared" si="10"/>
        <v>0</v>
      </c>
      <c r="AS125" s="66">
        <f t="shared" si="11"/>
        <v>0</v>
      </c>
      <c r="AT125" s="67">
        <f t="shared" si="12"/>
        <v>0</v>
      </c>
      <c r="AU125" s="68">
        <f t="shared" si="13"/>
        <v>0</v>
      </c>
      <c r="AV125" s="19">
        <f t="shared" si="14"/>
        <v>0</v>
      </c>
      <c r="AW125" s="69">
        <f t="shared" si="15"/>
        <v>0</v>
      </c>
      <c r="AY125" s="65">
        <f t="shared" si="16"/>
        <v>1</v>
      </c>
      <c r="AZ125" s="16">
        <f t="shared" si="17"/>
        <v>1</v>
      </c>
      <c r="BA125" s="16">
        <f t="shared" si="18"/>
        <v>1</v>
      </c>
      <c r="BB125" s="70">
        <f t="shared" si="19"/>
        <v>4477.6499999999996</v>
      </c>
      <c r="BC125" s="67">
        <f t="shared" si="20"/>
        <v>27270.51</v>
      </c>
      <c r="BD125" s="71">
        <f t="shared" si="21"/>
        <v>2.9666666666666668</v>
      </c>
      <c r="BE125" s="19">
        <f t="shared" si="22"/>
        <v>6.1953129456099112E-3</v>
      </c>
      <c r="BF125" s="69">
        <f t="shared" si="23"/>
        <v>0</v>
      </c>
      <c r="BH125" s="72">
        <f t="shared" si="24"/>
        <v>27270.51</v>
      </c>
      <c r="BI125" s="73">
        <f t="shared" si="25"/>
        <v>1</v>
      </c>
      <c r="BJ125" s="74">
        <f t="shared" si="26"/>
        <v>2.4244004896873794E-3</v>
      </c>
      <c r="BK125" s="75">
        <f t="shared" si="27"/>
        <v>0</v>
      </c>
      <c r="BM125" s="76">
        <f t="shared" si="28"/>
        <v>1</v>
      </c>
    </row>
    <row r="126" spans="1:65" ht="12.75" customHeight="1" x14ac:dyDescent="0.2">
      <c r="A126" s="47"/>
      <c r="B126" s="48" t="s">
        <v>278</v>
      </c>
      <c r="C126" s="49">
        <v>15532.5</v>
      </c>
      <c r="D126" s="50">
        <v>13</v>
      </c>
      <c r="E126" s="49">
        <v>13583.2</v>
      </c>
      <c r="F126" s="50" t="s">
        <v>55</v>
      </c>
      <c r="G126" s="51">
        <v>41135</v>
      </c>
      <c r="H126" s="52" t="s">
        <v>56</v>
      </c>
      <c r="I126" s="51">
        <v>41193</v>
      </c>
      <c r="J126" s="52">
        <f t="shared" si="0"/>
        <v>1.9333333333333333</v>
      </c>
      <c r="K126" s="53" t="s">
        <v>279</v>
      </c>
      <c r="L126" s="53">
        <v>33500</v>
      </c>
      <c r="M126" s="54">
        <v>691.98</v>
      </c>
      <c r="N126" s="54">
        <v>5557.73</v>
      </c>
      <c r="O126" s="54">
        <v>6317.78</v>
      </c>
      <c r="P126" s="54">
        <f t="shared" si="36"/>
        <v>0</v>
      </c>
      <c r="Q126" s="54">
        <f t="shared" si="34"/>
        <v>0</v>
      </c>
      <c r="R126" s="55">
        <f t="shared" si="3"/>
        <v>0</v>
      </c>
      <c r="S126" s="55">
        <f t="shared" si="4"/>
        <v>1</v>
      </c>
      <c r="T126" s="56"/>
      <c r="V126" s="57"/>
      <c r="W126" s="58"/>
      <c r="X126" s="58"/>
      <c r="Y126" s="58"/>
      <c r="Z126" s="58"/>
      <c r="AA126" s="58"/>
      <c r="AB126" s="58">
        <f t="shared" si="5"/>
        <v>0</v>
      </c>
      <c r="AC126" s="58"/>
      <c r="AD126" s="59"/>
      <c r="AE126" s="60"/>
      <c r="AF126" s="61"/>
      <c r="AG126" s="59"/>
      <c r="AH126" s="60"/>
      <c r="AI126" s="62"/>
      <c r="AJ126" s="62">
        <f t="shared" si="6"/>
        <v>0</v>
      </c>
      <c r="AK126" s="63"/>
      <c r="AL126" s="64">
        <f t="shared" si="7"/>
        <v>0</v>
      </c>
      <c r="AP126" s="65">
        <f t="shared" si="8"/>
        <v>1</v>
      </c>
      <c r="AQ126" s="16">
        <f t="shared" si="9"/>
        <v>1</v>
      </c>
      <c r="AR126" s="16">
        <f t="shared" si="10"/>
        <v>1</v>
      </c>
      <c r="AS126" s="66">
        <f t="shared" si="11"/>
        <v>11875.509999999998</v>
      </c>
      <c r="AT126" s="67">
        <f t="shared" si="12"/>
        <v>13583.2</v>
      </c>
      <c r="AU126" s="68">
        <f t="shared" si="13"/>
        <v>1.9333333333333333</v>
      </c>
      <c r="AV126" s="19">
        <f t="shared" si="14"/>
        <v>1.9839466854786572E-3</v>
      </c>
      <c r="AW126" s="69">
        <f t="shared" si="15"/>
        <v>0</v>
      </c>
      <c r="AY126" s="65">
        <f t="shared" si="16"/>
        <v>0</v>
      </c>
      <c r="AZ126" s="16">
        <f t="shared" si="17"/>
        <v>1</v>
      </c>
      <c r="BA126" s="16">
        <f t="shared" si="18"/>
        <v>0</v>
      </c>
      <c r="BB126" s="70">
        <f t="shared" si="19"/>
        <v>0</v>
      </c>
      <c r="BC126" s="67">
        <f t="shared" si="20"/>
        <v>0</v>
      </c>
      <c r="BD126" s="71">
        <f t="shared" si="21"/>
        <v>0</v>
      </c>
      <c r="BE126" s="19">
        <f t="shared" si="22"/>
        <v>0</v>
      </c>
      <c r="BF126" s="69">
        <f t="shared" si="23"/>
        <v>0</v>
      </c>
      <c r="BH126" s="72">
        <f t="shared" si="24"/>
        <v>13583.2</v>
      </c>
      <c r="BI126" s="73">
        <f t="shared" si="25"/>
        <v>1</v>
      </c>
      <c r="BJ126" s="74">
        <f t="shared" si="26"/>
        <v>1.2075724557964488E-3</v>
      </c>
      <c r="BK126" s="75">
        <f t="shared" si="27"/>
        <v>0</v>
      </c>
      <c r="BM126" s="76">
        <f t="shared" si="28"/>
        <v>1</v>
      </c>
    </row>
    <row r="127" spans="1:65" ht="12.75" customHeight="1" x14ac:dyDescent="0.2">
      <c r="A127" s="47"/>
      <c r="B127" s="48" t="s">
        <v>280</v>
      </c>
      <c r="C127" s="49">
        <v>41752.5</v>
      </c>
      <c r="D127" s="50">
        <v>13</v>
      </c>
      <c r="E127" s="49">
        <v>37155.94</v>
      </c>
      <c r="F127" s="50" t="s">
        <v>55</v>
      </c>
      <c r="G127" s="51">
        <v>41151</v>
      </c>
      <c r="H127" s="52" t="s">
        <v>56</v>
      </c>
      <c r="I127" s="51">
        <v>41254</v>
      </c>
      <c r="J127" s="52">
        <f t="shared" si="0"/>
        <v>3.4333333333333331</v>
      </c>
      <c r="K127" s="53" t="s">
        <v>281</v>
      </c>
      <c r="L127" s="53">
        <v>60000</v>
      </c>
      <c r="M127" s="54">
        <v>2322.6</v>
      </c>
      <c r="N127" s="54">
        <v>25444.9</v>
      </c>
      <c r="O127" s="54">
        <v>0</v>
      </c>
      <c r="P127" s="54">
        <f t="shared" si="36"/>
        <v>0</v>
      </c>
      <c r="Q127" s="54">
        <f t="shared" si="34"/>
        <v>4923.4400000000023</v>
      </c>
      <c r="R127" s="55">
        <f t="shared" si="3"/>
        <v>0.13250748063432125</v>
      </c>
      <c r="S127" s="55">
        <f t="shared" si="4"/>
        <v>0.86749251936567873</v>
      </c>
      <c r="T127" s="56"/>
      <c r="V127" s="57"/>
      <c r="W127" s="58"/>
      <c r="X127" s="58"/>
      <c r="Y127" s="58"/>
      <c r="Z127" s="58"/>
      <c r="AA127" s="58"/>
      <c r="AB127" s="58">
        <f t="shared" si="5"/>
        <v>0</v>
      </c>
      <c r="AC127" s="58"/>
      <c r="AD127" s="59"/>
      <c r="AE127" s="60"/>
      <c r="AF127" s="61"/>
      <c r="AG127" s="59"/>
      <c r="AH127" s="60"/>
      <c r="AI127" s="62"/>
      <c r="AJ127" s="62">
        <f t="shared" si="6"/>
        <v>0</v>
      </c>
      <c r="AK127" s="63"/>
      <c r="AL127" s="64">
        <f t="shared" si="7"/>
        <v>0</v>
      </c>
      <c r="AP127" s="65">
        <f t="shared" si="8"/>
        <v>1</v>
      </c>
      <c r="AQ127" s="16">
        <f t="shared" si="9"/>
        <v>1</v>
      </c>
      <c r="AR127" s="16">
        <f t="shared" si="10"/>
        <v>1</v>
      </c>
      <c r="AS127" s="66">
        <f t="shared" si="11"/>
        <v>25444.9</v>
      </c>
      <c r="AT127" s="67">
        <f t="shared" si="12"/>
        <v>37155.94</v>
      </c>
      <c r="AU127" s="68">
        <f t="shared" si="13"/>
        <v>3.4333333333333331</v>
      </c>
      <c r="AV127" s="19">
        <f t="shared" si="14"/>
        <v>5.4269541793424128E-3</v>
      </c>
      <c r="AW127" s="69">
        <f t="shared" si="15"/>
        <v>7.1911202582256354E-4</v>
      </c>
      <c r="AY127" s="65">
        <f t="shared" si="16"/>
        <v>0</v>
      </c>
      <c r="AZ127" s="16">
        <f t="shared" si="17"/>
        <v>1</v>
      </c>
      <c r="BA127" s="16">
        <f t="shared" si="18"/>
        <v>0</v>
      </c>
      <c r="BB127" s="70">
        <f t="shared" si="19"/>
        <v>0</v>
      </c>
      <c r="BC127" s="67">
        <f t="shared" si="20"/>
        <v>0</v>
      </c>
      <c r="BD127" s="71">
        <f t="shared" si="21"/>
        <v>0</v>
      </c>
      <c r="BE127" s="19">
        <f t="shared" si="22"/>
        <v>0</v>
      </c>
      <c r="BF127" s="69">
        <f t="shared" si="23"/>
        <v>0</v>
      </c>
      <c r="BH127" s="72">
        <f t="shared" si="24"/>
        <v>37155.94</v>
      </c>
      <c r="BI127" s="73">
        <f t="shared" si="25"/>
        <v>1</v>
      </c>
      <c r="BJ127" s="74">
        <f t="shared" si="26"/>
        <v>3.3032341210631885E-3</v>
      </c>
      <c r="BK127" s="75">
        <f t="shared" si="27"/>
        <v>4.377032313274096E-4</v>
      </c>
      <c r="BM127" s="76">
        <f t="shared" si="28"/>
        <v>1</v>
      </c>
    </row>
    <row r="128" spans="1:65" ht="12.75" customHeight="1" x14ac:dyDescent="0.2">
      <c r="A128" s="47"/>
      <c r="B128" s="48" t="s">
        <v>282</v>
      </c>
      <c r="C128" s="49">
        <v>46060.3</v>
      </c>
      <c r="D128" s="50">
        <v>13</v>
      </c>
      <c r="E128" s="49">
        <f>38725.03+4349.66</f>
        <v>43074.69</v>
      </c>
      <c r="F128" s="50" t="s">
        <v>63</v>
      </c>
      <c r="G128" s="51">
        <v>41152</v>
      </c>
      <c r="H128" s="52" t="s">
        <v>56</v>
      </c>
      <c r="I128" s="51">
        <v>41152</v>
      </c>
      <c r="J128" s="52">
        <f t="shared" si="0"/>
        <v>0</v>
      </c>
      <c r="K128" s="53" t="s">
        <v>283</v>
      </c>
      <c r="L128" s="53">
        <v>60000</v>
      </c>
      <c r="M128" s="54">
        <v>1898.49</v>
      </c>
      <c r="N128" s="54">
        <v>250</v>
      </c>
      <c r="O128" s="54">
        <v>0</v>
      </c>
      <c r="P128" s="54">
        <f t="shared" si="36"/>
        <v>0</v>
      </c>
      <c r="Q128" s="54">
        <f t="shared" si="34"/>
        <v>0</v>
      </c>
      <c r="R128" s="55">
        <f t="shared" si="3"/>
        <v>0</v>
      </c>
      <c r="S128" s="55">
        <f t="shared" si="4"/>
        <v>1</v>
      </c>
      <c r="T128" s="56"/>
      <c r="V128" s="57"/>
      <c r="W128" s="58"/>
      <c r="X128" s="58"/>
      <c r="Y128" s="58"/>
      <c r="Z128" s="58"/>
      <c r="AA128" s="58"/>
      <c r="AB128" s="58">
        <f t="shared" si="5"/>
        <v>0</v>
      </c>
      <c r="AC128" s="58"/>
      <c r="AD128" s="59"/>
      <c r="AE128" s="60"/>
      <c r="AF128" s="61"/>
      <c r="AG128" s="59"/>
      <c r="AH128" s="60"/>
      <c r="AI128" s="62"/>
      <c r="AJ128" s="62">
        <f t="shared" si="6"/>
        <v>0</v>
      </c>
      <c r="AK128" s="63"/>
      <c r="AL128" s="64">
        <f t="shared" si="7"/>
        <v>0</v>
      </c>
      <c r="AP128" s="65">
        <f t="shared" si="8"/>
        <v>0</v>
      </c>
      <c r="AQ128" s="16">
        <f t="shared" si="9"/>
        <v>1</v>
      </c>
      <c r="AR128" s="16">
        <f t="shared" si="10"/>
        <v>0</v>
      </c>
      <c r="AS128" s="66">
        <f t="shared" si="11"/>
        <v>0</v>
      </c>
      <c r="AT128" s="67">
        <f t="shared" si="12"/>
        <v>0</v>
      </c>
      <c r="AU128" s="68">
        <f t="shared" si="13"/>
        <v>0</v>
      </c>
      <c r="AV128" s="19">
        <f t="shared" si="14"/>
        <v>0</v>
      </c>
      <c r="AW128" s="69">
        <f t="shared" si="15"/>
        <v>0</v>
      </c>
      <c r="AY128" s="65">
        <f t="shared" si="16"/>
        <v>1</v>
      </c>
      <c r="AZ128" s="16">
        <f t="shared" si="17"/>
        <v>1</v>
      </c>
      <c r="BA128" s="16">
        <f t="shared" si="18"/>
        <v>1</v>
      </c>
      <c r="BB128" s="70">
        <f t="shared" si="19"/>
        <v>250</v>
      </c>
      <c r="BC128" s="67">
        <f t="shared" si="20"/>
        <v>43074.69</v>
      </c>
      <c r="BD128" s="71">
        <f t="shared" si="21"/>
        <v>0</v>
      </c>
      <c r="BE128" s="19">
        <f t="shared" si="22"/>
        <v>9.7857056793266353E-3</v>
      </c>
      <c r="BF128" s="69">
        <f t="shared" si="23"/>
        <v>0</v>
      </c>
      <c r="BH128" s="72">
        <f t="shared" si="24"/>
        <v>43074.69</v>
      </c>
      <c r="BI128" s="73">
        <f t="shared" si="25"/>
        <v>1</v>
      </c>
      <c r="BJ128" s="74">
        <f t="shared" si="26"/>
        <v>3.8294223147690332E-3</v>
      </c>
      <c r="BK128" s="75">
        <f t="shared" si="27"/>
        <v>0</v>
      </c>
      <c r="BM128" s="76">
        <f t="shared" si="28"/>
        <v>1</v>
      </c>
    </row>
    <row r="129" spans="1:65" ht="12.75" customHeight="1" x14ac:dyDescent="0.2">
      <c r="A129" s="47"/>
      <c r="B129" s="48" t="s">
        <v>284</v>
      </c>
      <c r="C129" s="49">
        <v>20492</v>
      </c>
      <c r="D129" s="50">
        <v>13</v>
      </c>
      <c r="E129" s="49">
        <v>17484.689999999999</v>
      </c>
      <c r="F129" s="50" t="s">
        <v>55</v>
      </c>
      <c r="G129" s="51">
        <v>41152</v>
      </c>
      <c r="H129" s="52" t="s">
        <v>56</v>
      </c>
      <c r="I129" s="51">
        <v>41224</v>
      </c>
      <c r="J129" s="52">
        <f t="shared" si="0"/>
        <v>2.4</v>
      </c>
      <c r="K129" s="53" t="s">
        <v>285</v>
      </c>
      <c r="L129" s="53">
        <v>32000</v>
      </c>
      <c r="M129" s="54">
        <v>275.86</v>
      </c>
      <c r="N129" s="54"/>
      <c r="O129" s="54">
        <v>3468.77</v>
      </c>
      <c r="P129" s="54">
        <f t="shared" si="36"/>
        <v>0</v>
      </c>
      <c r="Q129" s="54">
        <f t="shared" si="34"/>
        <v>0</v>
      </c>
      <c r="R129" s="55">
        <f t="shared" si="3"/>
        <v>0</v>
      </c>
      <c r="S129" s="55">
        <f t="shared" si="4"/>
        <v>1</v>
      </c>
      <c r="T129" s="56"/>
      <c r="V129" s="57"/>
      <c r="W129" s="58"/>
      <c r="X129" s="58"/>
      <c r="Y129" s="58"/>
      <c r="Z129" s="58"/>
      <c r="AA129" s="58"/>
      <c r="AB129" s="58">
        <f t="shared" si="5"/>
        <v>0</v>
      </c>
      <c r="AC129" s="58"/>
      <c r="AD129" s="59"/>
      <c r="AE129" s="60"/>
      <c r="AF129" s="61"/>
      <c r="AG129" s="59"/>
      <c r="AH129" s="60"/>
      <c r="AI129" s="62"/>
      <c r="AJ129" s="62">
        <f t="shared" si="6"/>
        <v>0</v>
      </c>
      <c r="AK129" s="63"/>
      <c r="AL129" s="64">
        <f t="shared" si="7"/>
        <v>0</v>
      </c>
      <c r="AP129" s="65">
        <f t="shared" si="8"/>
        <v>1</v>
      </c>
      <c r="AQ129" s="16">
        <f t="shared" si="9"/>
        <v>1</v>
      </c>
      <c r="AR129" s="16">
        <f t="shared" si="10"/>
        <v>1</v>
      </c>
      <c r="AS129" s="66">
        <f t="shared" si="11"/>
        <v>3468.77</v>
      </c>
      <c r="AT129" s="67">
        <f t="shared" si="12"/>
        <v>17484.689999999999</v>
      </c>
      <c r="AU129" s="68">
        <f t="shared" si="13"/>
        <v>2.4</v>
      </c>
      <c r="AV129" s="19">
        <f t="shared" si="14"/>
        <v>2.553793860954843E-3</v>
      </c>
      <c r="AW129" s="69">
        <f t="shared" si="15"/>
        <v>0</v>
      </c>
      <c r="AY129" s="65">
        <f t="shared" si="16"/>
        <v>0</v>
      </c>
      <c r="AZ129" s="16">
        <f t="shared" si="17"/>
        <v>1</v>
      </c>
      <c r="BA129" s="16">
        <f t="shared" si="18"/>
        <v>0</v>
      </c>
      <c r="BB129" s="70">
        <f t="shared" si="19"/>
        <v>0</v>
      </c>
      <c r="BC129" s="67">
        <f t="shared" si="20"/>
        <v>0</v>
      </c>
      <c r="BD129" s="71">
        <f t="shared" si="21"/>
        <v>0</v>
      </c>
      <c r="BE129" s="19">
        <f t="shared" si="22"/>
        <v>0</v>
      </c>
      <c r="BF129" s="69">
        <f t="shared" si="23"/>
        <v>0</v>
      </c>
      <c r="BH129" s="72">
        <f t="shared" si="24"/>
        <v>17484.689999999999</v>
      </c>
      <c r="BI129" s="73">
        <f t="shared" si="25"/>
        <v>1</v>
      </c>
      <c r="BJ129" s="74">
        <f t="shared" si="26"/>
        <v>1.5544223778004892E-3</v>
      </c>
      <c r="BK129" s="75">
        <f t="shared" si="27"/>
        <v>0</v>
      </c>
      <c r="BM129" s="76">
        <f t="shared" si="28"/>
        <v>1</v>
      </c>
    </row>
    <row r="130" spans="1:65" ht="12.75" customHeight="1" x14ac:dyDescent="0.2">
      <c r="A130" s="47"/>
      <c r="B130" s="48" t="s">
        <v>286</v>
      </c>
      <c r="C130" s="49">
        <v>20700</v>
      </c>
      <c r="D130" s="50">
        <v>13</v>
      </c>
      <c r="E130" s="49">
        <v>18636</v>
      </c>
      <c r="F130" s="50" t="s">
        <v>55</v>
      </c>
      <c r="G130" s="51">
        <v>41181</v>
      </c>
      <c r="H130" s="52" t="s">
        <v>56</v>
      </c>
      <c r="I130" s="51">
        <v>41181</v>
      </c>
      <c r="J130" s="52">
        <f t="shared" si="0"/>
        <v>0</v>
      </c>
      <c r="K130" s="53" t="s">
        <v>287</v>
      </c>
      <c r="L130" s="53">
        <v>28000</v>
      </c>
      <c r="M130" s="54">
        <v>504.17</v>
      </c>
      <c r="N130" s="54">
        <v>0</v>
      </c>
      <c r="O130" s="54">
        <v>5527.45</v>
      </c>
      <c r="P130" s="54">
        <f t="shared" si="36"/>
        <v>0</v>
      </c>
      <c r="Q130" s="54">
        <f t="shared" si="34"/>
        <v>0</v>
      </c>
      <c r="R130" s="55">
        <f t="shared" si="3"/>
        <v>0</v>
      </c>
      <c r="S130" s="55">
        <f t="shared" si="4"/>
        <v>1</v>
      </c>
      <c r="T130" s="56"/>
      <c r="V130" s="57"/>
      <c r="W130" s="58"/>
      <c r="X130" s="58"/>
      <c r="Y130" s="58"/>
      <c r="Z130" s="58"/>
      <c r="AA130" s="58"/>
      <c r="AB130" s="58">
        <f t="shared" si="5"/>
        <v>0</v>
      </c>
      <c r="AC130" s="58"/>
      <c r="AD130" s="59"/>
      <c r="AE130" s="60"/>
      <c r="AF130" s="61"/>
      <c r="AG130" s="59"/>
      <c r="AH130" s="60"/>
      <c r="AI130" s="62"/>
      <c r="AJ130" s="62">
        <f t="shared" si="6"/>
        <v>0</v>
      </c>
      <c r="AK130" s="63"/>
      <c r="AL130" s="64">
        <f t="shared" si="7"/>
        <v>0</v>
      </c>
      <c r="AP130" s="65">
        <f t="shared" si="8"/>
        <v>1</v>
      </c>
      <c r="AQ130" s="16">
        <f t="shared" si="9"/>
        <v>1</v>
      </c>
      <c r="AR130" s="16">
        <f t="shared" si="10"/>
        <v>1</v>
      </c>
      <c r="AS130" s="66">
        <f t="shared" si="11"/>
        <v>5527.45</v>
      </c>
      <c r="AT130" s="67">
        <f t="shared" si="12"/>
        <v>18636</v>
      </c>
      <c r="AU130" s="68">
        <f t="shared" si="13"/>
        <v>0</v>
      </c>
      <c r="AV130" s="19">
        <f t="shared" si="14"/>
        <v>2.7219528852244139E-3</v>
      </c>
      <c r="AW130" s="69">
        <f t="shared" si="15"/>
        <v>0</v>
      </c>
      <c r="AY130" s="65">
        <f t="shared" si="16"/>
        <v>0</v>
      </c>
      <c r="AZ130" s="16">
        <f t="shared" si="17"/>
        <v>1</v>
      </c>
      <c r="BA130" s="16">
        <f t="shared" si="18"/>
        <v>0</v>
      </c>
      <c r="BB130" s="70">
        <f t="shared" si="19"/>
        <v>0</v>
      </c>
      <c r="BC130" s="67">
        <f t="shared" si="20"/>
        <v>0</v>
      </c>
      <c r="BD130" s="71">
        <f t="shared" si="21"/>
        <v>0</v>
      </c>
      <c r="BE130" s="19">
        <f t="shared" si="22"/>
        <v>0</v>
      </c>
      <c r="BF130" s="69">
        <f t="shared" si="23"/>
        <v>0</v>
      </c>
      <c r="BH130" s="72">
        <f t="shared" si="24"/>
        <v>18636</v>
      </c>
      <c r="BI130" s="73">
        <f t="shared" si="25"/>
        <v>1</v>
      </c>
      <c r="BJ130" s="74">
        <f t="shared" si="26"/>
        <v>1.6567760385051106E-3</v>
      </c>
      <c r="BK130" s="75">
        <f t="shared" si="27"/>
        <v>0</v>
      </c>
      <c r="BM130" s="76">
        <f t="shared" si="28"/>
        <v>1</v>
      </c>
    </row>
    <row r="131" spans="1:65" ht="12.75" customHeight="1" x14ac:dyDescent="0.2">
      <c r="A131" s="47"/>
      <c r="B131" s="48" t="s">
        <v>288</v>
      </c>
      <c r="C131" s="49">
        <v>25300</v>
      </c>
      <c r="D131" s="50">
        <v>10</v>
      </c>
      <c r="E131" s="49">
        <v>25127.25</v>
      </c>
      <c r="F131" s="50" t="s">
        <v>55</v>
      </c>
      <c r="G131" s="51">
        <v>41181</v>
      </c>
      <c r="H131" s="52" t="s">
        <v>56</v>
      </c>
      <c r="I131" s="51">
        <v>41181</v>
      </c>
      <c r="J131" s="52">
        <f t="shared" si="0"/>
        <v>0</v>
      </c>
      <c r="K131" s="53" t="s">
        <v>289</v>
      </c>
      <c r="L131" s="53">
        <v>30000</v>
      </c>
      <c r="M131" s="54">
        <v>194.5</v>
      </c>
      <c r="N131" s="54"/>
      <c r="O131" s="54">
        <v>3392.53</v>
      </c>
      <c r="P131" s="54">
        <f t="shared" si="36"/>
        <v>0</v>
      </c>
      <c r="Q131" s="54">
        <f t="shared" si="34"/>
        <v>0</v>
      </c>
      <c r="R131" s="55">
        <f t="shared" si="3"/>
        <v>0</v>
      </c>
      <c r="S131" s="55">
        <f t="shared" si="4"/>
        <v>1</v>
      </c>
      <c r="T131" s="56"/>
      <c r="V131" s="57"/>
      <c r="W131" s="58"/>
      <c r="X131" s="58"/>
      <c r="Y131" s="58"/>
      <c r="Z131" s="58"/>
      <c r="AA131" s="58"/>
      <c r="AB131" s="58">
        <f t="shared" si="5"/>
        <v>0</v>
      </c>
      <c r="AC131" s="58"/>
      <c r="AD131" s="59"/>
      <c r="AE131" s="60"/>
      <c r="AF131" s="61"/>
      <c r="AG131" s="59"/>
      <c r="AH131" s="60"/>
      <c r="AI131" s="62"/>
      <c r="AJ131" s="62">
        <f t="shared" si="6"/>
        <v>0</v>
      </c>
      <c r="AK131" s="63"/>
      <c r="AL131" s="64">
        <f t="shared" si="7"/>
        <v>0</v>
      </c>
      <c r="AP131" s="65">
        <f t="shared" si="8"/>
        <v>1</v>
      </c>
      <c r="AQ131" s="16">
        <f t="shared" si="9"/>
        <v>1</v>
      </c>
      <c r="AR131" s="16">
        <f t="shared" si="10"/>
        <v>1</v>
      </c>
      <c r="AS131" s="66">
        <f t="shared" si="11"/>
        <v>3392.53</v>
      </c>
      <c r="AT131" s="67">
        <f t="shared" si="12"/>
        <v>25127.25</v>
      </c>
      <c r="AU131" s="68">
        <f t="shared" si="13"/>
        <v>0</v>
      </c>
      <c r="AV131" s="19">
        <f t="shared" si="14"/>
        <v>3.6700574498419805E-3</v>
      </c>
      <c r="AW131" s="69">
        <f t="shared" si="15"/>
        <v>0</v>
      </c>
      <c r="AY131" s="65">
        <f t="shared" si="16"/>
        <v>0</v>
      </c>
      <c r="AZ131" s="16">
        <f t="shared" si="17"/>
        <v>1</v>
      </c>
      <c r="BA131" s="16">
        <f t="shared" si="18"/>
        <v>0</v>
      </c>
      <c r="BB131" s="70">
        <f t="shared" si="19"/>
        <v>0</v>
      </c>
      <c r="BC131" s="67">
        <f t="shared" si="20"/>
        <v>0</v>
      </c>
      <c r="BD131" s="71">
        <f t="shared" si="21"/>
        <v>0</v>
      </c>
      <c r="BE131" s="19">
        <f t="shared" si="22"/>
        <v>0</v>
      </c>
      <c r="BF131" s="69">
        <f t="shared" si="23"/>
        <v>0</v>
      </c>
      <c r="BH131" s="72">
        <f t="shared" si="24"/>
        <v>25127.25</v>
      </c>
      <c r="BI131" s="73">
        <f t="shared" si="25"/>
        <v>1</v>
      </c>
      <c r="BJ131" s="74">
        <f t="shared" si="26"/>
        <v>2.2338605770298101E-3</v>
      </c>
      <c r="BK131" s="75">
        <f t="shared" si="27"/>
        <v>0</v>
      </c>
      <c r="BM131" s="76">
        <f t="shared" si="28"/>
        <v>1</v>
      </c>
    </row>
    <row r="132" spans="1:65" ht="12.75" customHeight="1" x14ac:dyDescent="0.2">
      <c r="A132" s="47"/>
      <c r="B132" s="48" t="s">
        <v>290</v>
      </c>
      <c r="C132" s="49">
        <v>26100</v>
      </c>
      <c r="D132" s="50">
        <v>13</v>
      </c>
      <c r="E132" s="49">
        <v>23263.24</v>
      </c>
      <c r="F132" s="50" t="s">
        <v>55</v>
      </c>
      <c r="G132" s="51">
        <v>41182</v>
      </c>
      <c r="H132" s="52" t="s">
        <v>56</v>
      </c>
      <c r="I132" s="51">
        <v>41181</v>
      </c>
      <c r="J132" s="52">
        <f t="shared" si="0"/>
        <v>-3.3333333333333333E-2</v>
      </c>
      <c r="K132" s="53" t="s">
        <v>291</v>
      </c>
      <c r="L132" s="53">
        <v>36800</v>
      </c>
      <c r="M132" s="54">
        <v>891.96</v>
      </c>
      <c r="N132" s="54">
        <v>0</v>
      </c>
      <c r="O132" s="54">
        <v>5568.53</v>
      </c>
      <c r="P132" s="54">
        <f t="shared" si="36"/>
        <v>0</v>
      </c>
      <c r="Q132" s="54">
        <f t="shared" si="34"/>
        <v>0</v>
      </c>
      <c r="R132" s="55">
        <f t="shared" si="3"/>
        <v>0</v>
      </c>
      <c r="S132" s="55">
        <f t="shared" si="4"/>
        <v>1</v>
      </c>
      <c r="T132" s="56"/>
      <c r="V132" s="57"/>
      <c r="W132" s="58"/>
      <c r="X132" s="58"/>
      <c r="Y132" s="58"/>
      <c r="Z132" s="58"/>
      <c r="AA132" s="58"/>
      <c r="AB132" s="58">
        <f t="shared" si="5"/>
        <v>0</v>
      </c>
      <c r="AC132" s="58"/>
      <c r="AD132" s="59"/>
      <c r="AE132" s="60"/>
      <c r="AF132" s="61"/>
      <c r="AG132" s="59"/>
      <c r="AH132" s="60"/>
      <c r="AI132" s="62"/>
      <c r="AJ132" s="62">
        <f t="shared" si="6"/>
        <v>0</v>
      </c>
      <c r="AK132" s="63"/>
      <c r="AL132" s="64">
        <f t="shared" si="7"/>
        <v>0</v>
      </c>
      <c r="AP132" s="65">
        <f t="shared" si="8"/>
        <v>1</v>
      </c>
      <c r="AQ132" s="16">
        <f t="shared" si="9"/>
        <v>1</v>
      </c>
      <c r="AR132" s="16">
        <f t="shared" si="10"/>
        <v>1</v>
      </c>
      <c r="AS132" s="66">
        <f t="shared" si="11"/>
        <v>5568.53</v>
      </c>
      <c r="AT132" s="67">
        <f t="shared" si="12"/>
        <v>23263.24</v>
      </c>
      <c r="AU132" s="68">
        <f t="shared" si="13"/>
        <v>-3.3333333333333333E-2</v>
      </c>
      <c r="AV132" s="19">
        <f t="shared" si="14"/>
        <v>3.3978022771875937E-3</v>
      </c>
      <c r="AW132" s="69">
        <f t="shared" si="15"/>
        <v>0</v>
      </c>
      <c r="AY132" s="65">
        <f t="shared" si="16"/>
        <v>0</v>
      </c>
      <c r="AZ132" s="16">
        <f t="shared" si="17"/>
        <v>1</v>
      </c>
      <c r="BA132" s="16">
        <f t="shared" si="18"/>
        <v>0</v>
      </c>
      <c r="BB132" s="70">
        <f t="shared" si="19"/>
        <v>0</v>
      </c>
      <c r="BC132" s="67">
        <f t="shared" si="20"/>
        <v>0</v>
      </c>
      <c r="BD132" s="71">
        <f t="shared" si="21"/>
        <v>0</v>
      </c>
      <c r="BE132" s="19">
        <f t="shared" si="22"/>
        <v>0</v>
      </c>
      <c r="BF132" s="69">
        <f t="shared" si="23"/>
        <v>0</v>
      </c>
      <c r="BH132" s="72">
        <f t="shared" si="24"/>
        <v>23263.24</v>
      </c>
      <c r="BI132" s="73">
        <f t="shared" si="25"/>
        <v>1</v>
      </c>
      <c r="BJ132" s="74">
        <f t="shared" si="26"/>
        <v>2.0681465233952367E-3</v>
      </c>
      <c r="BK132" s="75">
        <f t="shared" si="27"/>
        <v>0</v>
      </c>
      <c r="BM132" s="76">
        <f t="shared" si="28"/>
        <v>1</v>
      </c>
    </row>
    <row r="133" spans="1:65" ht="12.75" customHeight="1" x14ac:dyDescent="0.2">
      <c r="A133" s="47"/>
      <c r="B133" s="48" t="s">
        <v>292</v>
      </c>
      <c r="C133" s="49">
        <v>24981.66</v>
      </c>
      <c r="D133" s="50">
        <v>13</v>
      </c>
      <c r="E133" s="49">
        <v>22947.88</v>
      </c>
      <c r="F133" s="50" t="s">
        <v>55</v>
      </c>
      <c r="G133" s="51">
        <v>41291</v>
      </c>
      <c r="H133" s="52" t="s">
        <v>56</v>
      </c>
      <c r="I133" s="51">
        <v>41455</v>
      </c>
      <c r="J133" s="52">
        <f t="shared" si="0"/>
        <v>5.4666666666666668</v>
      </c>
      <c r="K133" s="53" t="s">
        <v>293</v>
      </c>
      <c r="L133" s="53">
        <v>36500</v>
      </c>
      <c r="M133" s="54">
        <v>745.76</v>
      </c>
      <c r="N133" s="54">
        <v>6800.27</v>
      </c>
      <c r="O133" s="54">
        <v>0</v>
      </c>
      <c r="P133" s="54">
        <f t="shared" si="36"/>
        <v>0</v>
      </c>
      <c r="Q133" s="54">
        <f t="shared" si="34"/>
        <v>0</v>
      </c>
      <c r="R133" s="55">
        <f t="shared" si="3"/>
        <v>0</v>
      </c>
      <c r="S133" s="55">
        <f t="shared" si="4"/>
        <v>1</v>
      </c>
      <c r="T133" s="56"/>
      <c r="V133" s="57">
        <v>123.9</v>
      </c>
      <c r="W133" s="58"/>
      <c r="X133" s="58">
        <v>8.67</v>
      </c>
      <c r="Y133" s="58"/>
      <c r="Z133" s="58">
        <f>73.5+296.1+56.28</f>
        <v>425.88</v>
      </c>
      <c r="AA133" s="58">
        <v>1081.68</v>
      </c>
      <c r="AB133" s="58">
        <f t="shared" ref="AB133:AB249" si="37">AA133+Z133+Y133+X133+V133+W133</f>
        <v>1640.13</v>
      </c>
      <c r="AC133" s="58"/>
      <c r="AD133" s="59">
        <v>2.75E-2</v>
      </c>
      <c r="AE133" s="60">
        <f t="shared" ref="AE133:AE139" si="38">((E133*AD133)/365)*180</f>
        <v>311.21097534246576</v>
      </c>
      <c r="AF133" s="61"/>
      <c r="AG133" s="59"/>
      <c r="AH133" s="60">
        <f t="shared" ref="AH133:AH139" si="39">((E133*AG133)/365)*180</f>
        <v>0</v>
      </c>
      <c r="AI133" s="62"/>
      <c r="AJ133" s="62">
        <f t="shared" si="6"/>
        <v>311.21097534246576</v>
      </c>
      <c r="AK133" s="63">
        <f t="shared" ref="AK133:AK249" si="40">IF(AJ133&lt;AA133,AJ133,AA133)</f>
        <v>311.21097534246576</v>
      </c>
      <c r="AL133" s="64">
        <f t="shared" ref="AL133:AL249" si="41">W133+X133+Y133+Z133+AK133</f>
        <v>745.76097534246583</v>
      </c>
      <c r="AP133" s="65">
        <f t="shared" si="8"/>
        <v>1</v>
      </c>
      <c r="AQ133" s="16">
        <f t="shared" si="9"/>
        <v>1</v>
      </c>
      <c r="AR133" s="16">
        <f t="shared" si="10"/>
        <v>1</v>
      </c>
      <c r="AS133" s="66">
        <f t="shared" si="11"/>
        <v>6800.27</v>
      </c>
      <c r="AT133" s="67">
        <f t="shared" si="12"/>
        <v>22947.88</v>
      </c>
      <c r="AU133" s="68">
        <f t="shared" si="13"/>
        <v>5.4666666666666668</v>
      </c>
      <c r="AV133" s="19">
        <f t="shared" si="14"/>
        <v>3.3517411556011818E-3</v>
      </c>
      <c r="AW133" s="69">
        <f t="shared" si="15"/>
        <v>0</v>
      </c>
      <c r="AY133" s="65">
        <f t="shared" si="16"/>
        <v>0</v>
      </c>
      <c r="AZ133" s="16">
        <f t="shared" si="17"/>
        <v>1</v>
      </c>
      <c r="BA133" s="16">
        <f t="shared" si="18"/>
        <v>0</v>
      </c>
      <c r="BB133" s="70">
        <f t="shared" si="19"/>
        <v>0</v>
      </c>
      <c r="BC133" s="67">
        <f t="shared" si="20"/>
        <v>0</v>
      </c>
      <c r="BD133" s="71">
        <f t="shared" si="21"/>
        <v>0</v>
      </c>
      <c r="BE133" s="19">
        <f t="shared" si="22"/>
        <v>0</v>
      </c>
      <c r="BF133" s="69">
        <f t="shared" si="23"/>
        <v>0</v>
      </c>
      <c r="BH133" s="72">
        <f t="shared" si="24"/>
        <v>22947.88</v>
      </c>
      <c r="BI133" s="73">
        <f t="shared" si="25"/>
        <v>1</v>
      </c>
      <c r="BJ133" s="74">
        <f t="shared" si="26"/>
        <v>2.0401104163173781E-3</v>
      </c>
      <c r="BK133" s="75">
        <f t="shared" si="27"/>
        <v>0</v>
      </c>
      <c r="BM133" s="76">
        <f t="shared" si="28"/>
        <v>1</v>
      </c>
    </row>
    <row r="134" spans="1:65" ht="12.75" customHeight="1" x14ac:dyDescent="0.2">
      <c r="A134" s="47"/>
      <c r="B134" s="48" t="s">
        <v>294</v>
      </c>
      <c r="C134" s="49">
        <v>20386.990000000002</v>
      </c>
      <c r="D134" s="50">
        <v>13</v>
      </c>
      <c r="E134" s="49">
        <v>18098.12</v>
      </c>
      <c r="F134" s="50" t="s">
        <v>55</v>
      </c>
      <c r="G134" s="51">
        <v>41359</v>
      </c>
      <c r="H134" s="52" t="s">
        <v>56</v>
      </c>
      <c r="I134" s="51">
        <v>41454</v>
      </c>
      <c r="J134" s="52">
        <f t="shared" si="0"/>
        <v>3.1666666666666665</v>
      </c>
      <c r="K134" s="53" t="s">
        <v>295</v>
      </c>
      <c r="L134" s="53">
        <v>28000</v>
      </c>
      <c r="M134" s="54">
        <v>981.11</v>
      </c>
      <c r="N134" s="54">
        <v>2565.69</v>
      </c>
      <c r="O134" s="54">
        <v>4489.95</v>
      </c>
      <c r="P134" s="54">
        <f t="shared" si="36"/>
        <v>0</v>
      </c>
      <c r="Q134" s="54">
        <f t="shared" si="34"/>
        <v>0</v>
      </c>
      <c r="R134" s="55">
        <f t="shared" si="3"/>
        <v>0</v>
      </c>
      <c r="S134" s="55">
        <f t="shared" si="4"/>
        <v>1</v>
      </c>
      <c r="T134" s="56"/>
      <c r="V134" s="57">
        <v>97.75</v>
      </c>
      <c r="W134" s="58">
        <v>173.47</v>
      </c>
      <c r="X134" s="58">
        <v>18.98</v>
      </c>
      <c r="Y134" s="58"/>
      <c r="Z134" s="58">
        <f>267+262.43+80.73</f>
        <v>610.16000000000008</v>
      </c>
      <c r="AA134" s="58">
        <v>711.03</v>
      </c>
      <c r="AB134" s="58">
        <f t="shared" si="37"/>
        <v>1611.39</v>
      </c>
      <c r="AC134" s="58"/>
      <c r="AD134" s="59">
        <v>0.02</v>
      </c>
      <c r="AE134" s="60">
        <f t="shared" si="38"/>
        <v>178.50200547945204</v>
      </c>
      <c r="AF134" s="61"/>
      <c r="AG134" s="59"/>
      <c r="AH134" s="60">
        <f t="shared" si="39"/>
        <v>0</v>
      </c>
      <c r="AI134" s="62"/>
      <c r="AJ134" s="62">
        <f t="shared" si="6"/>
        <v>178.50200547945204</v>
      </c>
      <c r="AK134" s="63">
        <f t="shared" si="40"/>
        <v>178.50200547945204</v>
      </c>
      <c r="AL134" s="64">
        <f t="shared" si="41"/>
        <v>981.11200547945214</v>
      </c>
      <c r="AP134" s="65">
        <f t="shared" si="8"/>
        <v>1</v>
      </c>
      <c r="AQ134" s="16">
        <f t="shared" si="9"/>
        <v>1</v>
      </c>
      <c r="AR134" s="16">
        <f t="shared" si="10"/>
        <v>1</v>
      </c>
      <c r="AS134" s="66">
        <f t="shared" si="11"/>
        <v>7055.6399999999994</v>
      </c>
      <c r="AT134" s="67">
        <f t="shared" si="12"/>
        <v>18098.12</v>
      </c>
      <c r="AU134" s="68">
        <f t="shared" si="13"/>
        <v>3.1666666666666665</v>
      </c>
      <c r="AV134" s="19">
        <f t="shared" si="14"/>
        <v>2.6433907464658546E-3</v>
      </c>
      <c r="AW134" s="69">
        <f t="shared" si="15"/>
        <v>0</v>
      </c>
      <c r="AY134" s="65">
        <f t="shared" si="16"/>
        <v>0</v>
      </c>
      <c r="AZ134" s="16">
        <f t="shared" si="17"/>
        <v>1</v>
      </c>
      <c r="BA134" s="16">
        <f t="shared" si="18"/>
        <v>0</v>
      </c>
      <c r="BB134" s="70">
        <f t="shared" si="19"/>
        <v>0</v>
      </c>
      <c r="BC134" s="67">
        <f t="shared" si="20"/>
        <v>0</v>
      </c>
      <c r="BD134" s="71">
        <f t="shared" si="21"/>
        <v>0</v>
      </c>
      <c r="BE134" s="19">
        <f t="shared" si="22"/>
        <v>0</v>
      </c>
      <c r="BF134" s="69">
        <f t="shared" si="23"/>
        <v>0</v>
      </c>
      <c r="BH134" s="72">
        <f t="shared" si="24"/>
        <v>18098.12</v>
      </c>
      <c r="BI134" s="73">
        <f t="shared" si="25"/>
        <v>1</v>
      </c>
      <c r="BJ134" s="74">
        <f t="shared" si="26"/>
        <v>1.6089574778917208E-3</v>
      </c>
      <c r="BK134" s="75">
        <f t="shared" si="27"/>
        <v>0</v>
      </c>
      <c r="BM134" s="76">
        <f t="shared" si="28"/>
        <v>1</v>
      </c>
    </row>
    <row r="135" spans="1:65" ht="12.75" customHeight="1" x14ac:dyDescent="0.2">
      <c r="A135" s="47"/>
      <c r="B135" s="48" t="s">
        <v>296</v>
      </c>
      <c r="C135" s="49">
        <v>27502.5</v>
      </c>
      <c r="D135" s="50">
        <v>13</v>
      </c>
      <c r="E135" s="49">
        <v>21150.85</v>
      </c>
      <c r="F135" s="50" t="s">
        <v>55</v>
      </c>
      <c r="G135" s="51">
        <v>41363</v>
      </c>
      <c r="H135" s="52" t="s">
        <v>56</v>
      </c>
      <c r="I135" s="51">
        <v>41577</v>
      </c>
      <c r="J135" s="52">
        <f t="shared" si="0"/>
        <v>7.1333333333333337</v>
      </c>
      <c r="K135" s="53" t="s">
        <v>68</v>
      </c>
      <c r="L135" s="53">
        <v>31000</v>
      </c>
      <c r="M135" s="54">
        <v>985.34</v>
      </c>
      <c r="N135" s="54">
        <v>3301.81</v>
      </c>
      <c r="O135" s="54">
        <v>0</v>
      </c>
      <c r="P135" s="54">
        <f t="shared" si="36"/>
        <v>0</v>
      </c>
      <c r="Q135" s="54">
        <f t="shared" si="34"/>
        <v>0</v>
      </c>
      <c r="R135" s="55">
        <f t="shared" si="3"/>
        <v>0</v>
      </c>
      <c r="S135" s="55">
        <f t="shared" si="4"/>
        <v>1</v>
      </c>
      <c r="T135" s="56"/>
      <c r="V135" s="57">
        <v>70.8</v>
      </c>
      <c r="W135" s="58">
        <v>0.04</v>
      </c>
      <c r="X135" s="58">
        <v>4.96</v>
      </c>
      <c r="Y135" s="58"/>
      <c r="Z135" s="58">
        <f>53.52+90.84+73.68+32.16</f>
        <v>250.20000000000002</v>
      </c>
      <c r="AA135" s="58">
        <f>174+1707.74</f>
        <v>1881.74</v>
      </c>
      <c r="AB135" s="58">
        <f t="shared" si="37"/>
        <v>2207.7400000000002</v>
      </c>
      <c r="AC135" s="58"/>
      <c r="AD135" s="59">
        <v>7.0000000000000007E-2</v>
      </c>
      <c r="AE135" s="60">
        <f t="shared" si="38"/>
        <v>730.1389315068493</v>
      </c>
      <c r="AF135" s="61"/>
      <c r="AG135" s="59"/>
      <c r="AH135" s="60">
        <f t="shared" si="39"/>
        <v>0</v>
      </c>
      <c r="AI135" s="62"/>
      <c r="AJ135" s="62">
        <f t="shared" si="6"/>
        <v>730.1389315068493</v>
      </c>
      <c r="AK135" s="63">
        <f t="shared" si="40"/>
        <v>730.1389315068493</v>
      </c>
      <c r="AL135" s="64">
        <f t="shared" si="41"/>
        <v>985.33893150684935</v>
      </c>
      <c r="AP135" s="65">
        <f t="shared" si="8"/>
        <v>1</v>
      </c>
      <c r="AQ135" s="16">
        <f t="shared" si="9"/>
        <v>1</v>
      </c>
      <c r="AR135" s="16">
        <f t="shared" si="10"/>
        <v>1</v>
      </c>
      <c r="AS135" s="66">
        <f t="shared" si="11"/>
        <v>3301.81</v>
      </c>
      <c r="AT135" s="67">
        <f t="shared" si="12"/>
        <v>21150.85</v>
      </c>
      <c r="AU135" s="68">
        <f t="shared" si="13"/>
        <v>7.1333333333333337</v>
      </c>
      <c r="AV135" s="19">
        <f t="shared" si="14"/>
        <v>3.0892690052827208E-3</v>
      </c>
      <c r="AW135" s="69">
        <f t="shared" si="15"/>
        <v>0</v>
      </c>
      <c r="AY135" s="65">
        <f t="shared" si="16"/>
        <v>0</v>
      </c>
      <c r="AZ135" s="16">
        <f t="shared" si="17"/>
        <v>1</v>
      </c>
      <c r="BA135" s="16">
        <f t="shared" si="18"/>
        <v>0</v>
      </c>
      <c r="BB135" s="70">
        <f t="shared" si="19"/>
        <v>0</v>
      </c>
      <c r="BC135" s="67">
        <f t="shared" si="20"/>
        <v>0</v>
      </c>
      <c r="BD135" s="71">
        <f t="shared" si="21"/>
        <v>0</v>
      </c>
      <c r="BE135" s="19">
        <f t="shared" si="22"/>
        <v>0</v>
      </c>
      <c r="BF135" s="69">
        <f t="shared" si="23"/>
        <v>0</v>
      </c>
      <c r="BH135" s="72">
        <f t="shared" si="24"/>
        <v>21150.85</v>
      </c>
      <c r="BI135" s="73">
        <f t="shared" si="25"/>
        <v>1</v>
      </c>
      <c r="BJ135" s="74">
        <f t="shared" si="26"/>
        <v>1.8803510127718295E-3</v>
      </c>
      <c r="BK135" s="75">
        <f t="shared" si="27"/>
        <v>0</v>
      </c>
      <c r="BM135" s="76">
        <f t="shared" si="28"/>
        <v>1</v>
      </c>
    </row>
    <row r="136" spans="1:65" ht="12.75" customHeight="1" x14ac:dyDescent="0.2">
      <c r="A136" s="47"/>
      <c r="B136" s="48" t="s">
        <v>297</v>
      </c>
      <c r="C136" s="49">
        <v>29117.5</v>
      </c>
      <c r="D136" s="50">
        <v>10</v>
      </c>
      <c r="E136" s="49">
        <v>21341.62</v>
      </c>
      <c r="F136" s="50" t="s">
        <v>55</v>
      </c>
      <c r="G136" s="51">
        <v>41387</v>
      </c>
      <c r="H136" s="52" t="s">
        <v>56</v>
      </c>
      <c r="I136" s="51">
        <v>41424</v>
      </c>
      <c r="J136" s="52">
        <f t="shared" si="0"/>
        <v>1.2333333333333334</v>
      </c>
      <c r="K136" s="53" t="s">
        <v>298</v>
      </c>
      <c r="L136" s="53">
        <v>40000</v>
      </c>
      <c r="M136" s="54">
        <v>560.61</v>
      </c>
      <c r="N136" s="54">
        <v>7701.62</v>
      </c>
      <c r="O136" s="54">
        <v>0</v>
      </c>
      <c r="P136" s="54">
        <f t="shared" si="36"/>
        <v>0</v>
      </c>
      <c r="Q136" s="54">
        <f t="shared" si="34"/>
        <v>0</v>
      </c>
      <c r="R136" s="55">
        <f t="shared" si="3"/>
        <v>0</v>
      </c>
      <c r="S136" s="55">
        <f t="shared" si="4"/>
        <v>1</v>
      </c>
      <c r="T136" s="56"/>
      <c r="V136" s="57">
        <v>41.3</v>
      </c>
      <c r="W136" s="58"/>
      <c r="X136" s="58">
        <v>2.89</v>
      </c>
      <c r="Y136" s="58"/>
      <c r="Z136" s="58">
        <f>28.56+129.01+39.34+18.76</f>
        <v>215.67</v>
      </c>
      <c r="AA136" s="58">
        <v>683.89</v>
      </c>
      <c r="AB136" s="58">
        <f t="shared" si="37"/>
        <v>943.74999999999989</v>
      </c>
      <c r="AC136" s="58"/>
      <c r="AD136" s="59">
        <v>3.2500000000000001E-2</v>
      </c>
      <c r="AE136" s="60">
        <f t="shared" si="38"/>
        <v>342.05062191780826</v>
      </c>
      <c r="AF136" s="61"/>
      <c r="AG136" s="59"/>
      <c r="AH136" s="60">
        <f t="shared" si="39"/>
        <v>0</v>
      </c>
      <c r="AI136" s="62"/>
      <c r="AJ136" s="62">
        <f t="shared" si="6"/>
        <v>342.05062191780826</v>
      </c>
      <c r="AK136" s="63">
        <f t="shared" si="40"/>
        <v>342.05062191780826</v>
      </c>
      <c r="AL136" s="64">
        <f t="shared" si="41"/>
        <v>560.6106219178082</v>
      </c>
      <c r="AP136" s="65">
        <f t="shared" si="8"/>
        <v>1</v>
      </c>
      <c r="AQ136" s="16">
        <f t="shared" si="9"/>
        <v>1</v>
      </c>
      <c r="AR136" s="16">
        <f t="shared" si="10"/>
        <v>1</v>
      </c>
      <c r="AS136" s="66">
        <f t="shared" si="11"/>
        <v>7701.62</v>
      </c>
      <c r="AT136" s="67">
        <f t="shared" si="12"/>
        <v>21341.62</v>
      </c>
      <c r="AU136" s="68">
        <f t="shared" si="13"/>
        <v>1.2333333333333334</v>
      </c>
      <c r="AV136" s="19">
        <f t="shared" si="14"/>
        <v>3.1171326537005285E-3</v>
      </c>
      <c r="AW136" s="69">
        <f t="shared" si="15"/>
        <v>0</v>
      </c>
      <c r="AY136" s="65">
        <f t="shared" si="16"/>
        <v>0</v>
      </c>
      <c r="AZ136" s="16">
        <f t="shared" si="17"/>
        <v>1</v>
      </c>
      <c r="BA136" s="16">
        <f t="shared" si="18"/>
        <v>0</v>
      </c>
      <c r="BB136" s="70">
        <f t="shared" si="19"/>
        <v>0</v>
      </c>
      <c r="BC136" s="67">
        <f t="shared" si="20"/>
        <v>0</v>
      </c>
      <c r="BD136" s="71">
        <f t="shared" si="21"/>
        <v>0</v>
      </c>
      <c r="BE136" s="19">
        <f t="shared" si="22"/>
        <v>0</v>
      </c>
      <c r="BF136" s="69">
        <f t="shared" si="23"/>
        <v>0</v>
      </c>
      <c r="BH136" s="72">
        <f t="shared" si="24"/>
        <v>21341.62</v>
      </c>
      <c r="BI136" s="73">
        <f t="shared" si="25"/>
        <v>1</v>
      </c>
      <c r="BJ136" s="74">
        <f t="shared" si="26"/>
        <v>1.8973108305903323E-3</v>
      </c>
      <c r="BK136" s="75">
        <f t="shared" si="27"/>
        <v>0</v>
      </c>
      <c r="BM136" s="76">
        <f t="shared" si="28"/>
        <v>1</v>
      </c>
    </row>
    <row r="137" spans="1:65" ht="12.75" customHeight="1" x14ac:dyDescent="0.2">
      <c r="A137" s="47"/>
      <c r="B137" s="48" t="s">
        <v>299</v>
      </c>
      <c r="C137" s="49">
        <v>26125</v>
      </c>
      <c r="D137" s="50">
        <v>13</v>
      </c>
      <c r="E137" s="49">
        <v>22300.95</v>
      </c>
      <c r="F137" s="50" t="s">
        <v>55</v>
      </c>
      <c r="G137" s="51">
        <v>41453</v>
      </c>
      <c r="H137" s="52" t="s">
        <v>56</v>
      </c>
      <c r="I137" s="51">
        <v>41759</v>
      </c>
      <c r="J137" s="52">
        <f t="shared" si="0"/>
        <v>10.199999999999999</v>
      </c>
      <c r="K137" s="53" t="s">
        <v>300</v>
      </c>
      <c r="L137" s="53">
        <v>55000</v>
      </c>
      <c r="M137" s="54">
        <v>1070.55</v>
      </c>
      <c r="N137" s="54">
        <v>6067.94</v>
      </c>
      <c r="O137" s="54">
        <v>6105.06</v>
      </c>
      <c r="P137" s="54">
        <v>0</v>
      </c>
      <c r="Q137" s="54">
        <f t="shared" si="34"/>
        <v>0</v>
      </c>
      <c r="R137" s="55">
        <f t="shared" si="3"/>
        <v>0</v>
      </c>
      <c r="S137" s="55">
        <f t="shared" si="4"/>
        <v>1</v>
      </c>
      <c r="T137" s="56"/>
      <c r="V137" s="57">
        <v>200.6</v>
      </c>
      <c r="W137" s="58"/>
      <c r="X137" s="58">
        <v>14.04</v>
      </c>
      <c r="Y137" s="58"/>
      <c r="Z137" s="58">
        <f>124.44+426.02+176.12</f>
        <v>726.58</v>
      </c>
      <c r="AA137" s="58">
        <v>1892.4</v>
      </c>
      <c r="AB137" s="58">
        <f t="shared" si="37"/>
        <v>2833.62</v>
      </c>
      <c r="AC137" s="58"/>
      <c r="AD137" s="59">
        <v>0.03</v>
      </c>
      <c r="AE137" s="60">
        <f t="shared" si="38"/>
        <v>329.93186301369866</v>
      </c>
      <c r="AF137" s="61"/>
      <c r="AG137" s="59"/>
      <c r="AH137" s="60">
        <f t="shared" si="39"/>
        <v>0</v>
      </c>
      <c r="AI137" s="62"/>
      <c r="AJ137" s="62">
        <f t="shared" si="6"/>
        <v>329.93186301369866</v>
      </c>
      <c r="AK137" s="63">
        <f t="shared" si="40"/>
        <v>329.93186301369866</v>
      </c>
      <c r="AL137" s="64">
        <f t="shared" si="41"/>
        <v>1070.5518630136987</v>
      </c>
      <c r="AP137" s="65">
        <f t="shared" si="8"/>
        <v>1</v>
      </c>
      <c r="AQ137" s="16">
        <f t="shared" si="9"/>
        <v>1</v>
      </c>
      <c r="AR137" s="16">
        <f t="shared" si="10"/>
        <v>1</v>
      </c>
      <c r="AS137" s="66">
        <f t="shared" si="11"/>
        <v>12173</v>
      </c>
      <c r="AT137" s="67">
        <f t="shared" si="12"/>
        <v>22300.95</v>
      </c>
      <c r="AU137" s="68">
        <f t="shared" si="13"/>
        <v>10.199999999999999</v>
      </c>
      <c r="AV137" s="19">
        <f t="shared" si="14"/>
        <v>3.2572512983336226E-3</v>
      </c>
      <c r="AW137" s="69">
        <f t="shared" si="15"/>
        <v>0</v>
      </c>
      <c r="AY137" s="65">
        <f t="shared" si="16"/>
        <v>0</v>
      </c>
      <c r="AZ137" s="16">
        <f t="shared" si="17"/>
        <v>1</v>
      </c>
      <c r="BA137" s="16">
        <f t="shared" si="18"/>
        <v>0</v>
      </c>
      <c r="BB137" s="70">
        <f t="shared" si="19"/>
        <v>0</v>
      </c>
      <c r="BC137" s="67">
        <f t="shared" si="20"/>
        <v>0</v>
      </c>
      <c r="BD137" s="71">
        <f t="shared" si="21"/>
        <v>0</v>
      </c>
      <c r="BE137" s="19">
        <f t="shared" si="22"/>
        <v>0</v>
      </c>
      <c r="BF137" s="69">
        <f t="shared" si="23"/>
        <v>0</v>
      </c>
      <c r="BH137" s="72">
        <f t="shared" si="24"/>
        <v>22300.95</v>
      </c>
      <c r="BI137" s="73">
        <f t="shared" si="25"/>
        <v>1</v>
      </c>
      <c r="BJ137" s="74">
        <f t="shared" si="26"/>
        <v>1.9825971021625107E-3</v>
      </c>
      <c r="BK137" s="75">
        <f t="shared" si="27"/>
        <v>0</v>
      </c>
      <c r="BM137" s="76">
        <f t="shared" si="28"/>
        <v>1</v>
      </c>
    </row>
    <row r="138" spans="1:65" ht="12.75" customHeight="1" x14ac:dyDescent="0.2">
      <c r="A138" s="47"/>
      <c r="B138" s="48" t="s">
        <v>301</v>
      </c>
      <c r="C138" s="49">
        <v>16200</v>
      </c>
      <c r="D138" s="50">
        <v>12</v>
      </c>
      <c r="E138" s="49">
        <v>15897.52</v>
      </c>
      <c r="F138" s="50" t="s">
        <v>55</v>
      </c>
      <c r="G138" s="51">
        <v>41478</v>
      </c>
      <c r="H138" s="52" t="s">
        <v>56</v>
      </c>
      <c r="I138" s="51">
        <v>41478</v>
      </c>
      <c r="J138" s="52">
        <f t="shared" si="0"/>
        <v>0</v>
      </c>
      <c r="K138" s="53" t="s">
        <v>302</v>
      </c>
      <c r="L138" s="53">
        <v>20900</v>
      </c>
      <c r="M138" s="54">
        <v>812.14</v>
      </c>
      <c r="N138" s="54">
        <v>5302.38</v>
      </c>
      <c r="O138" s="54">
        <v>1742.12</v>
      </c>
      <c r="P138" s="54">
        <f t="shared" ref="P138:P186" si="42">IF(L138="N/A",0,IF(L138-E138&gt;0,0,E138-L138))</f>
        <v>0</v>
      </c>
      <c r="Q138" s="54">
        <f t="shared" si="34"/>
        <v>2854.1600000000008</v>
      </c>
      <c r="R138" s="55">
        <f t="shared" si="3"/>
        <v>0.17953492117009451</v>
      </c>
      <c r="S138" s="55">
        <f t="shared" si="4"/>
        <v>0.82046507882990549</v>
      </c>
      <c r="T138" s="56"/>
      <c r="V138" s="57">
        <v>157.25</v>
      </c>
      <c r="W138" s="58"/>
      <c r="X138" s="58">
        <v>11.01</v>
      </c>
      <c r="Y138" s="58"/>
      <c r="Z138" s="58">
        <f>88.43+163.91</f>
        <v>252.34</v>
      </c>
      <c r="AA138" s="58">
        <v>3777.05</v>
      </c>
      <c r="AB138" s="58">
        <f t="shared" si="37"/>
        <v>4197.6500000000005</v>
      </c>
      <c r="AC138" s="58"/>
      <c r="AD138" s="59">
        <v>7.0000000000000007E-2</v>
      </c>
      <c r="AE138" s="60">
        <f t="shared" si="38"/>
        <v>548.7911013698631</v>
      </c>
      <c r="AF138" s="61"/>
      <c r="AG138" s="59"/>
      <c r="AH138" s="60">
        <f t="shared" si="39"/>
        <v>0</v>
      </c>
      <c r="AI138" s="62"/>
      <c r="AJ138" s="62">
        <f t="shared" si="6"/>
        <v>548.7911013698631</v>
      </c>
      <c r="AK138" s="63">
        <f t="shared" si="40"/>
        <v>548.7911013698631</v>
      </c>
      <c r="AL138" s="64">
        <f t="shared" si="41"/>
        <v>812.14110136986312</v>
      </c>
      <c r="AP138" s="65">
        <f t="shared" si="8"/>
        <v>1</v>
      </c>
      <c r="AQ138" s="16">
        <f t="shared" si="9"/>
        <v>1</v>
      </c>
      <c r="AR138" s="16">
        <f t="shared" si="10"/>
        <v>1</v>
      </c>
      <c r="AS138" s="66">
        <f t="shared" si="11"/>
        <v>7044.5</v>
      </c>
      <c r="AT138" s="67">
        <f t="shared" si="12"/>
        <v>15897.52</v>
      </c>
      <c r="AU138" s="68">
        <f t="shared" si="13"/>
        <v>0</v>
      </c>
      <c r="AV138" s="19">
        <f t="shared" si="14"/>
        <v>2.3219736226611303E-3</v>
      </c>
      <c r="AW138" s="69">
        <f t="shared" si="15"/>
        <v>4.1687535130350482E-4</v>
      </c>
      <c r="AY138" s="65">
        <f t="shared" si="16"/>
        <v>0</v>
      </c>
      <c r="AZ138" s="16">
        <f t="shared" si="17"/>
        <v>1</v>
      </c>
      <c r="BA138" s="16">
        <f t="shared" si="18"/>
        <v>0</v>
      </c>
      <c r="BB138" s="70">
        <f t="shared" si="19"/>
        <v>0</v>
      </c>
      <c r="BC138" s="67">
        <f t="shared" si="20"/>
        <v>0</v>
      </c>
      <c r="BD138" s="71">
        <f t="shared" si="21"/>
        <v>0</v>
      </c>
      <c r="BE138" s="19">
        <f t="shared" si="22"/>
        <v>0</v>
      </c>
      <c r="BF138" s="69">
        <f t="shared" si="23"/>
        <v>0</v>
      </c>
      <c r="BH138" s="72">
        <f t="shared" si="24"/>
        <v>15897.52</v>
      </c>
      <c r="BI138" s="73">
        <f t="shared" si="25"/>
        <v>1</v>
      </c>
      <c r="BJ138" s="74">
        <f t="shared" si="26"/>
        <v>1.4133199295801547E-3</v>
      </c>
      <c r="BK138" s="75">
        <f t="shared" si="27"/>
        <v>2.5374028214529662E-4</v>
      </c>
      <c r="BM138" s="76">
        <f t="shared" si="28"/>
        <v>1</v>
      </c>
    </row>
    <row r="139" spans="1:65" ht="12.75" customHeight="1" x14ac:dyDescent="0.2">
      <c r="A139" s="47"/>
      <c r="B139" s="48" t="s">
        <v>303</v>
      </c>
      <c r="C139" s="49">
        <v>21375</v>
      </c>
      <c r="D139" s="50">
        <v>13</v>
      </c>
      <c r="E139" s="49">
        <v>16092.42</v>
      </c>
      <c r="F139" s="50" t="s">
        <v>55</v>
      </c>
      <c r="G139" s="51">
        <v>41515</v>
      </c>
      <c r="H139" s="52" t="s">
        <v>56</v>
      </c>
      <c r="I139" s="51">
        <v>41572</v>
      </c>
      <c r="J139" s="52">
        <f t="shared" si="0"/>
        <v>1.9</v>
      </c>
      <c r="K139" s="53" t="s">
        <v>68</v>
      </c>
      <c r="L139" s="53">
        <v>22690</v>
      </c>
      <c r="M139" s="54">
        <v>983.12</v>
      </c>
      <c r="N139" s="54">
        <v>3699.22</v>
      </c>
      <c r="O139" s="54">
        <v>0</v>
      </c>
      <c r="P139" s="54">
        <f t="shared" si="42"/>
        <v>0</v>
      </c>
      <c r="Q139" s="54">
        <f t="shared" si="34"/>
        <v>0</v>
      </c>
      <c r="R139" s="55">
        <f t="shared" si="3"/>
        <v>0</v>
      </c>
      <c r="S139" s="55">
        <f t="shared" si="4"/>
        <v>1</v>
      </c>
      <c r="T139" s="56"/>
      <c r="V139" s="57">
        <v>100.3</v>
      </c>
      <c r="W139" s="58"/>
      <c r="X139" s="58">
        <v>7.02</v>
      </c>
      <c r="Y139" s="58"/>
      <c r="Z139" s="58">
        <f>50.83+239.19+85+45.56</f>
        <v>420.58</v>
      </c>
      <c r="AA139" s="58">
        <v>1927.94</v>
      </c>
      <c r="AB139" s="58">
        <f t="shared" si="37"/>
        <v>2455.84</v>
      </c>
      <c r="AC139" s="58"/>
      <c r="AD139" s="59">
        <v>7.0000000000000007E-2</v>
      </c>
      <c r="AE139" s="60">
        <f t="shared" si="38"/>
        <v>555.51915616438362</v>
      </c>
      <c r="AF139" s="61"/>
      <c r="AG139" s="59"/>
      <c r="AH139" s="60">
        <f t="shared" si="39"/>
        <v>0</v>
      </c>
      <c r="AI139" s="62"/>
      <c r="AJ139" s="62">
        <f t="shared" si="6"/>
        <v>555.51915616438362</v>
      </c>
      <c r="AK139" s="63">
        <f t="shared" si="40"/>
        <v>555.51915616438362</v>
      </c>
      <c r="AL139" s="64">
        <f t="shared" si="41"/>
        <v>983.11915616438364</v>
      </c>
      <c r="AP139" s="65">
        <f t="shared" si="8"/>
        <v>1</v>
      </c>
      <c r="AQ139" s="16">
        <f t="shared" si="9"/>
        <v>1</v>
      </c>
      <c r="AR139" s="16">
        <f t="shared" si="10"/>
        <v>1</v>
      </c>
      <c r="AS139" s="66">
        <f t="shared" si="11"/>
        <v>3699.22</v>
      </c>
      <c r="AT139" s="67">
        <f t="shared" si="12"/>
        <v>16092.42</v>
      </c>
      <c r="AU139" s="68">
        <f t="shared" si="13"/>
        <v>1.9</v>
      </c>
      <c r="AV139" s="19">
        <f t="shared" si="14"/>
        <v>2.3504404941641481E-3</v>
      </c>
      <c r="AW139" s="69">
        <f t="shared" si="15"/>
        <v>0</v>
      </c>
      <c r="AY139" s="65">
        <f t="shared" si="16"/>
        <v>0</v>
      </c>
      <c r="AZ139" s="16">
        <f t="shared" si="17"/>
        <v>1</v>
      </c>
      <c r="BA139" s="16">
        <f t="shared" si="18"/>
        <v>0</v>
      </c>
      <c r="BB139" s="70">
        <f t="shared" si="19"/>
        <v>0</v>
      </c>
      <c r="BC139" s="67">
        <f t="shared" si="20"/>
        <v>0</v>
      </c>
      <c r="BD139" s="71">
        <f t="shared" si="21"/>
        <v>0</v>
      </c>
      <c r="BE139" s="19">
        <f t="shared" si="22"/>
        <v>0</v>
      </c>
      <c r="BF139" s="69">
        <f t="shared" si="23"/>
        <v>0</v>
      </c>
      <c r="BH139" s="72">
        <f t="shared" si="24"/>
        <v>16092.42</v>
      </c>
      <c r="BI139" s="73">
        <f t="shared" si="25"/>
        <v>1</v>
      </c>
      <c r="BJ139" s="74">
        <f t="shared" si="26"/>
        <v>1.4306469122966523E-3</v>
      </c>
      <c r="BK139" s="75">
        <f t="shared" si="27"/>
        <v>0</v>
      </c>
      <c r="BM139" s="76">
        <f t="shared" si="28"/>
        <v>1</v>
      </c>
    </row>
    <row r="140" spans="1:65" ht="12.75" customHeight="1" x14ac:dyDescent="0.2">
      <c r="A140" s="47"/>
      <c r="B140" s="48" t="s">
        <v>304</v>
      </c>
      <c r="C140" s="49">
        <v>24750</v>
      </c>
      <c r="D140" s="50">
        <v>12</v>
      </c>
      <c r="E140" s="49">
        <v>22517.77</v>
      </c>
      <c r="F140" s="50" t="s">
        <v>63</v>
      </c>
      <c r="G140" s="51">
        <v>41590</v>
      </c>
      <c r="H140" s="52" t="s">
        <v>56</v>
      </c>
      <c r="I140" s="51">
        <v>41848</v>
      </c>
      <c r="J140" s="52">
        <f t="shared" si="0"/>
        <v>8.6</v>
      </c>
      <c r="K140" s="53" t="s">
        <v>68</v>
      </c>
      <c r="L140" s="53">
        <v>40000</v>
      </c>
      <c r="M140" s="54">
        <v>975</v>
      </c>
      <c r="N140" s="54">
        <v>900</v>
      </c>
      <c r="O140" s="54">
        <v>1883.78</v>
      </c>
      <c r="P140" s="54">
        <f t="shared" si="42"/>
        <v>0</v>
      </c>
      <c r="Q140" s="54">
        <f t="shared" si="34"/>
        <v>0</v>
      </c>
      <c r="R140" s="55">
        <f t="shared" si="3"/>
        <v>0</v>
      </c>
      <c r="S140" s="55">
        <f t="shared" si="4"/>
        <v>1</v>
      </c>
      <c r="T140" s="56"/>
      <c r="V140" s="57">
        <v>60.75</v>
      </c>
      <c r="W140" s="58">
        <v>5.28</v>
      </c>
      <c r="X140" s="58">
        <v>4.62</v>
      </c>
      <c r="Y140" s="58">
        <v>74.91</v>
      </c>
      <c r="Z140" s="58">
        <f>32.94+79.92</f>
        <v>112.86</v>
      </c>
      <c r="AA140" s="58">
        <f>816.49+78.72+723</f>
        <v>1618.21</v>
      </c>
      <c r="AB140" s="58">
        <f t="shared" si="37"/>
        <v>1876.6299999999999</v>
      </c>
      <c r="AC140" s="58">
        <v>12538.93</v>
      </c>
      <c r="AD140" s="59">
        <v>7.0000000000000007E-2</v>
      </c>
      <c r="AE140" s="60">
        <f>((AC140*AD140)/365)*180</f>
        <v>432.85073424657543</v>
      </c>
      <c r="AF140" s="61">
        <v>9978.84</v>
      </c>
      <c r="AG140" s="59">
        <v>7.0000000000000007E-2</v>
      </c>
      <c r="AH140" s="60">
        <f>((AF140*AG140)/365)*180</f>
        <v>344.47502465753428</v>
      </c>
      <c r="AI140" s="62">
        <f>AC140+AF140</f>
        <v>22517.77</v>
      </c>
      <c r="AJ140" s="62">
        <f t="shared" si="6"/>
        <v>777.32575890410976</v>
      </c>
      <c r="AK140" s="63">
        <f t="shared" si="40"/>
        <v>777.32575890410976</v>
      </c>
      <c r="AL140" s="64">
        <f t="shared" si="41"/>
        <v>974.99575890410983</v>
      </c>
      <c r="AP140" s="65">
        <f t="shared" si="8"/>
        <v>0</v>
      </c>
      <c r="AQ140" s="16">
        <f t="shared" si="9"/>
        <v>1</v>
      </c>
      <c r="AR140" s="16">
        <f t="shared" si="10"/>
        <v>0</v>
      </c>
      <c r="AS140" s="66">
        <f t="shared" si="11"/>
        <v>0</v>
      </c>
      <c r="AT140" s="67">
        <f t="shared" si="12"/>
        <v>0</v>
      </c>
      <c r="AU140" s="68">
        <f t="shared" si="13"/>
        <v>0</v>
      </c>
      <c r="AV140" s="19">
        <f t="shared" si="14"/>
        <v>0</v>
      </c>
      <c r="AW140" s="69">
        <f t="shared" si="15"/>
        <v>0</v>
      </c>
      <c r="AY140" s="65">
        <f t="shared" si="16"/>
        <v>1</v>
      </c>
      <c r="AZ140" s="16">
        <f t="shared" si="17"/>
        <v>1</v>
      </c>
      <c r="BA140" s="16">
        <f t="shared" si="18"/>
        <v>1</v>
      </c>
      <c r="BB140" s="70">
        <f t="shared" si="19"/>
        <v>2783.7799999999997</v>
      </c>
      <c r="BC140" s="67">
        <f t="shared" si="20"/>
        <v>22517.77</v>
      </c>
      <c r="BD140" s="71">
        <f t="shared" si="21"/>
        <v>8.6</v>
      </c>
      <c r="BE140" s="19">
        <f t="shared" si="22"/>
        <v>5.1155857366534949E-3</v>
      </c>
      <c r="BF140" s="69">
        <f t="shared" si="23"/>
        <v>0</v>
      </c>
      <c r="BH140" s="72">
        <f t="shared" si="24"/>
        <v>22517.77</v>
      </c>
      <c r="BI140" s="73">
        <f t="shared" si="25"/>
        <v>1</v>
      </c>
      <c r="BJ140" s="74">
        <f t="shared" si="26"/>
        <v>2.0018728147976617E-3</v>
      </c>
      <c r="BK140" s="75">
        <f t="shared" si="27"/>
        <v>0</v>
      </c>
      <c r="BM140" s="76">
        <f t="shared" si="28"/>
        <v>1</v>
      </c>
    </row>
    <row r="141" spans="1:65" ht="12.75" customHeight="1" x14ac:dyDescent="0.2">
      <c r="A141" s="47"/>
      <c r="B141" s="48" t="s">
        <v>305</v>
      </c>
      <c r="C141" s="49">
        <v>28000</v>
      </c>
      <c r="D141" s="50">
        <v>9</v>
      </c>
      <c r="E141" s="49">
        <v>23579.62</v>
      </c>
      <c r="F141" s="50" t="s">
        <v>63</v>
      </c>
      <c r="G141" s="51">
        <v>41607</v>
      </c>
      <c r="H141" s="52" t="s">
        <v>56</v>
      </c>
      <c r="I141" s="51">
        <v>41882</v>
      </c>
      <c r="J141" s="52">
        <f t="shared" si="0"/>
        <v>9.1666666666666661</v>
      </c>
      <c r="K141" s="53" t="s">
        <v>306</v>
      </c>
      <c r="L141" s="53">
        <v>32000</v>
      </c>
      <c r="M141" s="54">
        <v>420.12</v>
      </c>
      <c r="N141" s="54">
        <v>3827.51</v>
      </c>
      <c r="O141" s="54">
        <v>1365.32</v>
      </c>
      <c r="P141" s="54">
        <f t="shared" si="42"/>
        <v>0</v>
      </c>
      <c r="Q141" s="54">
        <f t="shared" si="34"/>
        <v>0</v>
      </c>
      <c r="R141" s="55">
        <f t="shared" si="3"/>
        <v>0</v>
      </c>
      <c r="S141" s="55">
        <f t="shared" si="4"/>
        <v>1</v>
      </c>
      <c r="T141" s="56"/>
      <c r="V141" s="57">
        <v>114.75</v>
      </c>
      <c r="W141" s="58"/>
      <c r="X141" s="58">
        <v>8.0299999999999994</v>
      </c>
      <c r="Y141" s="58"/>
      <c r="Z141" s="58">
        <v>63.24</v>
      </c>
      <c r="AA141" s="58">
        <f>813.98+203.5</f>
        <v>1017.48</v>
      </c>
      <c r="AB141" s="58">
        <f t="shared" si="37"/>
        <v>1203.5</v>
      </c>
      <c r="AC141" s="58"/>
      <c r="AD141" s="59">
        <v>0.03</v>
      </c>
      <c r="AE141" s="60">
        <f>((E141*AD141)/365)*180</f>
        <v>348.84917260273971</v>
      </c>
      <c r="AF141" s="61"/>
      <c r="AG141" s="59"/>
      <c r="AH141" s="60">
        <f>((E141*AG141)/365)*180</f>
        <v>0</v>
      </c>
      <c r="AI141" s="62"/>
      <c r="AJ141" s="62">
        <f t="shared" si="6"/>
        <v>348.84917260273971</v>
      </c>
      <c r="AK141" s="63">
        <f t="shared" si="40"/>
        <v>348.84917260273971</v>
      </c>
      <c r="AL141" s="64">
        <f t="shared" si="41"/>
        <v>420.1191726027397</v>
      </c>
      <c r="AP141" s="65">
        <f t="shared" si="8"/>
        <v>0</v>
      </c>
      <c r="AQ141" s="16">
        <f t="shared" si="9"/>
        <v>1</v>
      </c>
      <c r="AR141" s="16">
        <f t="shared" si="10"/>
        <v>0</v>
      </c>
      <c r="AS141" s="66">
        <f t="shared" si="11"/>
        <v>0</v>
      </c>
      <c r="AT141" s="67">
        <f t="shared" si="12"/>
        <v>0</v>
      </c>
      <c r="AU141" s="68">
        <f t="shared" si="13"/>
        <v>0</v>
      </c>
      <c r="AV141" s="19">
        <f t="shared" si="14"/>
        <v>0</v>
      </c>
      <c r="AW141" s="69">
        <f t="shared" si="15"/>
        <v>0</v>
      </c>
      <c r="AY141" s="65">
        <f t="shared" si="16"/>
        <v>1</v>
      </c>
      <c r="AZ141" s="16">
        <f t="shared" si="17"/>
        <v>1</v>
      </c>
      <c r="BA141" s="16">
        <f t="shared" si="18"/>
        <v>1</v>
      </c>
      <c r="BB141" s="70">
        <f t="shared" si="19"/>
        <v>5192.83</v>
      </c>
      <c r="BC141" s="67">
        <f t="shared" si="20"/>
        <v>23579.62</v>
      </c>
      <c r="BD141" s="71">
        <f t="shared" si="21"/>
        <v>9.1666666666666661</v>
      </c>
      <c r="BE141" s="19">
        <f t="shared" si="22"/>
        <v>5.3568167606165918E-3</v>
      </c>
      <c r="BF141" s="69">
        <f t="shared" si="23"/>
        <v>0</v>
      </c>
      <c r="BH141" s="72">
        <f t="shared" si="24"/>
        <v>23579.62</v>
      </c>
      <c r="BI141" s="73">
        <f t="shared" si="25"/>
        <v>1</v>
      </c>
      <c r="BJ141" s="74">
        <f t="shared" si="26"/>
        <v>2.0962733104236894E-3</v>
      </c>
      <c r="BK141" s="75">
        <f t="shared" si="27"/>
        <v>0</v>
      </c>
      <c r="BM141" s="76">
        <f t="shared" si="28"/>
        <v>1</v>
      </c>
    </row>
    <row r="142" spans="1:65" ht="12.75" customHeight="1" x14ac:dyDescent="0.2">
      <c r="A142" s="47"/>
      <c r="B142" s="48" t="s">
        <v>307</v>
      </c>
      <c r="C142" s="49">
        <v>28262.5</v>
      </c>
      <c r="D142" s="50">
        <v>13</v>
      </c>
      <c r="E142" s="49">
        <v>26670.080000000002</v>
      </c>
      <c r="F142" s="50" t="s">
        <v>55</v>
      </c>
      <c r="G142" s="51">
        <v>41698</v>
      </c>
      <c r="H142" s="52" t="s">
        <v>56</v>
      </c>
      <c r="I142" s="51">
        <v>41882</v>
      </c>
      <c r="J142" s="52">
        <f t="shared" si="0"/>
        <v>6.1333333333333337</v>
      </c>
      <c r="K142" s="53" t="s">
        <v>68</v>
      </c>
      <c r="L142" s="53">
        <v>45000</v>
      </c>
      <c r="M142" s="54">
        <v>1757.17</v>
      </c>
      <c r="N142" s="54">
        <v>5029.82</v>
      </c>
      <c r="O142" s="54">
        <v>15</v>
      </c>
      <c r="P142" s="54">
        <f t="shared" si="42"/>
        <v>0</v>
      </c>
      <c r="Q142" s="54">
        <f t="shared" si="34"/>
        <v>0</v>
      </c>
      <c r="R142" s="55">
        <f t="shared" si="3"/>
        <v>0</v>
      </c>
      <c r="S142" s="55">
        <f t="shared" si="4"/>
        <v>1</v>
      </c>
      <c r="T142" s="56"/>
      <c r="V142" s="57">
        <v>97.75</v>
      </c>
      <c r="W142" s="58"/>
      <c r="X142" s="58">
        <v>6.84</v>
      </c>
      <c r="Y142" s="58">
        <v>267.11</v>
      </c>
      <c r="Z142" s="58">
        <f>101.66+117.53+74.06+89.7+80.96</f>
        <v>463.90999999999997</v>
      </c>
      <c r="AA142" s="58">
        <f>2428.95+2113.74</f>
        <v>4542.6899999999996</v>
      </c>
      <c r="AB142" s="58">
        <f t="shared" si="37"/>
        <v>5378.2999999999993</v>
      </c>
      <c r="AC142" s="58">
        <v>12781.7</v>
      </c>
      <c r="AD142" s="59">
        <v>7.7499999999999999E-2</v>
      </c>
      <c r="AE142" s="60">
        <f>((AC142*AD142)/365)*180</f>
        <v>488.50606849315074</v>
      </c>
      <c r="AF142" s="61">
        <v>13888.38</v>
      </c>
      <c r="AG142" s="59">
        <v>7.7499999999999999E-2</v>
      </c>
      <c r="AH142" s="60">
        <f>((AF142*AG142)/365)*180</f>
        <v>530.80246849315074</v>
      </c>
      <c r="AI142" s="62">
        <f>AC142+AF142</f>
        <v>26670.080000000002</v>
      </c>
      <c r="AJ142" s="62">
        <f t="shared" si="6"/>
        <v>1019.3085369863015</v>
      </c>
      <c r="AK142" s="63">
        <f t="shared" si="40"/>
        <v>1019.3085369863015</v>
      </c>
      <c r="AL142" s="64">
        <f t="shared" si="41"/>
        <v>1757.1685369863014</v>
      </c>
      <c r="AP142" s="65">
        <f t="shared" si="8"/>
        <v>1</v>
      </c>
      <c r="AQ142" s="16">
        <f t="shared" si="9"/>
        <v>1</v>
      </c>
      <c r="AR142" s="16">
        <f t="shared" si="10"/>
        <v>1</v>
      </c>
      <c r="AS142" s="66">
        <f t="shared" si="11"/>
        <v>5044.82</v>
      </c>
      <c r="AT142" s="67">
        <f t="shared" si="12"/>
        <v>26670.080000000002</v>
      </c>
      <c r="AU142" s="68">
        <f t="shared" si="13"/>
        <v>6.1333333333333337</v>
      </c>
      <c r="AV142" s="19">
        <f t="shared" si="14"/>
        <v>3.8954014383540425E-3</v>
      </c>
      <c r="AW142" s="69">
        <f t="shared" si="15"/>
        <v>0</v>
      </c>
      <c r="AY142" s="65">
        <f t="shared" si="16"/>
        <v>0</v>
      </c>
      <c r="AZ142" s="16">
        <f t="shared" si="17"/>
        <v>1</v>
      </c>
      <c r="BA142" s="16">
        <f t="shared" si="18"/>
        <v>0</v>
      </c>
      <c r="BB142" s="70">
        <f t="shared" si="19"/>
        <v>0</v>
      </c>
      <c r="BC142" s="67">
        <f t="shared" si="20"/>
        <v>0</v>
      </c>
      <c r="BD142" s="71">
        <f t="shared" si="21"/>
        <v>0</v>
      </c>
      <c r="BE142" s="19">
        <f t="shared" si="22"/>
        <v>0</v>
      </c>
      <c r="BF142" s="69">
        <f t="shared" si="23"/>
        <v>0</v>
      </c>
      <c r="BH142" s="72">
        <f t="shared" si="24"/>
        <v>26670.080000000002</v>
      </c>
      <c r="BI142" s="73">
        <f t="shared" si="25"/>
        <v>1</v>
      </c>
      <c r="BJ142" s="74">
        <f t="shared" si="26"/>
        <v>2.3710211144566634E-3</v>
      </c>
      <c r="BK142" s="75">
        <f t="shared" si="27"/>
        <v>0</v>
      </c>
      <c r="BM142" s="76">
        <f t="shared" si="28"/>
        <v>1</v>
      </c>
    </row>
    <row r="143" spans="1:65" ht="12.75" customHeight="1" x14ac:dyDescent="0.2">
      <c r="A143" s="47"/>
      <c r="B143" s="48" t="s">
        <v>308</v>
      </c>
      <c r="C143" s="49">
        <v>54030</v>
      </c>
      <c r="D143" s="50">
        <v>13</v>
      </c>
      <c r="E143" s="49">
        <v>50872.66</v>
      </c>
      <c r="F143" s="50" t="s">
        <v>55</v>
      </c>
      <c r="G143" s="51">
        <v>41757</v>
      </c>
      <c r="H143" s="52" t="s">
        <v>56</v>
      </c>
      <c r="I143" s="51">
        <v>42122</v>
      </c>
      <c r="J143" s="52">
        <f t="shared" si="0"/>
        <v>12.166666666666666</v>
      </c>
      <c r="K143" s="53" t="s">
        <v>309</v>
      </c>
      <c r="L143" s="53">
        <v>93000</v>
      </c>
      <c r="M143" s="54">
        <v>2166.0700000000002</v>
      </c>
      <c r="N143" s="54">
        <v>8510.92</v>
      </c>
      <c r="O143" s="54">
        <v>1927.6</v>
      </c>
      <c r="P143" s="54">
        <f t="shared" si="42"/>
        <v>0</v>
      </c>
      <c r="Q143" s="54">
        <f t="shared" si="34"/>
        <v>0</v>
      </c>
      <c r="R143" s="55">
        <f t="shared" si="3"/>
        <v>0</v>
      </c>
      <c r="S143" s="55">
        <f t="shared" si="4"/>
        <v>1</v>
      </c>
      <c r="T143" s="56"/>
      <c r="V143" s="57">
        <v>128</v>
      </c>
      <c r="W143" s="58"/>
      <c r="X143" s="58">
        <v>8.9600000000000009</v>
      </c>
      <c r="Y143" s="58"/>
      <c r="Z143" s="58">
        <f>121.28+134.08+145.6</f>
        <v>400.96000000000004</v>
      </c>
      <c r="AA143" s="58">
        <v>6265.62</v>
      </c>
      <c r="AB143" s="58">
        <f t="shared" si="37"/>
        <v>6803.54</v>
      </c>
      <c r="AC143" s="58"/>
      <c r="AD143" s="59">
        <v>7.0000000000000007E-2</v>
      </c>
      <c r="AE143" s="60">
        <f>((E143*AD143)/365)*180</f>
        <v>1756.1520986301373</v>
      </c>
      <c r="AF143" s="61"/>
      <c r="AG143" s="59"/>
      <c r="AH143" s="60">
        <f>((E143*AG143)/365)*180</f>
        <v>0</v>
      </c>
      <c r="AI143" s="62"/>
      <c r="AJ143" s="62">
        <f t="shared" si="6"/>
        <v>1756.1520986301373</v>
      </c>
      <c r="AK143" s="63">
        <f t="shared" si="40"/>
        <v>1756.1520986301373</v>
      </c>
      <c r="AL143" s="64">
        <f t="shared" si="41"/>
        <v>2166.0720986301371</v>
      </c>
      <c r="AP143" s="65">
        <f t="shared" si="8"/>
        <v>1</v>
      </c>
      <c r="AQ143" s="16">
        <f t="shared" si="9"/>
        <v>1</v>
      </c>
      <c r="AR143" s="16">
        <f t="shared" si="10"/>
        <v>1</v>
      </c>
      <c r="AS143" s="66">
        <f t="shared" si="11"/>
        <v>10438.52</v>
      </c>
      <c r="AT143" s="67">
        <f t="shared" si="12"/>
        <v>50872.66</v>
      </c>
      <c r="AU143" s="68">
        <f t="shared" si="13"/>
        <v>12.166666666666666</v>
      </c>
      <c r="AV143" s="19">
        <f t="shared" si="14"/>
        <v>7.4304026435952257E-3</v>
      </c>
      <c r="AW143" s="69">
        <f t="shared" si="15"/>
        <v>0</v>
      </c>
      <c r="AY143" s="65">
        <f t="shared" si="16"/>
        <v>0</v>
      </c>
      <c r="AZ143" s="16">
        <f t="shared" si="17"/>
        <v>1</v>
      </c>
      <c r="BA143" s="16">
        <f t="shared" si="18"/>
        <v>0</v>
      </c>
      <c r="BB143" s="70">
        <f t="shared" si="19"/>
        <v>0</v>
      </c>
      <c r="BC143" s="67">
        <f t="shared" si="20"/>
        <v>0</v>
      </c>
      <c r="BD143" s="71">
        <f t="shared" si="21"/>
        <v>0</v>
      </c>
      <c r="BE143" s="19">
        <f t="shared" si="22"/>
        <v>0</v>
      </c>
      <c r="BF143" s="69">
        <f t="shared" si="23"/>
        <v>0</v>
      </c>
      <c r="BH143" s="72">
        <f t="shared" si="24"/>
        <v>50872.66</v>
      </c>
      <c r="BI143" s="73">
        <f t="shared" si="25"/>
        <v>1</v>
      </c>
      <c r="BJ143" s="74">
        <f t="shared" si="26"/>
        <v>4.5226767601962547E-3</v>
      </c>
      <c r="BK143" s="75">
        <f t="shared" si="27"/>
        <v>0</v>
      </c>
      <c r="BM143" s="76">
        <f t="shared" si="28"/>
        <v>1</v>
      </c>
    </row>
    <row r="144" spans="1:65" ht="12.75" customHeight="1" x14ac:dyDescent="0.2">
      <c r="A144" s="47"/>
      <c r="B144" s="48" t="s">
        <v>310</v>
      </c>
      <c r="C144" s="49">
        <v>25915.14</v>
      </c>
      <c r="D144" s="50">
        <v>13</v>
      </c>
      <c r="E144" s="49">
        <v>24195.5</v>
      </c>
      <c r="F144" s="50" t="s">
        <v>55</v>
      </c>
      <c r="G144" s="51">
        <v>41787</v>
      </c>
      <c r="H144" s="52" t="s">
        <v>56</v>
      </c>
      <c r="I144" s="51">
        <v>41971</v>
      </c>
      <c r="J144" s="52">
        <f t="shared" si="0"/>
        <v>6.1333333333333337</v>
      </c>
      <c r="K144" s="53" t="s">
        <v>311</v>
      </c>
      <c r="L144" s="53">
        <v>55000</v>
      </c>
      <c r="M144" s="54">
        <v>1619.8</v>
      </c>
      <c r="N144" s="54">
        <v>4527.9799999999996</v>
      </c>
      <c r="O144" s="54">
        <v>800</v>
      </c>
      <c r="P144" s="54">
        <f t="shared" si="42"/>
        <v>0</v>
      </c>
      <c r="Q144" s="54">
        <f t="shared" si="34"/>
        <v>0</v>
      </c>
      <c r="R144" s="55">
        <f t="shared" si="3"/>
        <v>0</v>
      </c>
      <c r="S144" s="55">
        <f t="shared" si="4"/>
        <v>1</v>
      </c>
      <c r="T144" s="56"/>
      <c r="V144" s="57">
        <v>142.91999999999999</v>
      </c>
      <c r="W144" s="58">
        <v>43.64</v>
      </c>
      <c r="X144" s="58">
        <v>13.05</v>
      </c>
      <c r="Y144" s="58">
        <v>208.03</v>
      </c>
      <c r="Z144" s="58">
        <f>109.16+176.58+76.68+79.11+62.64</f>
        <v>504.17</v>
      </c>
      <c r="AA144" s="58">
        <f>2115.57+2940.92</f>
        <v>5056.49</v>
      </c>
      <c r="AB144" s="58">
        <f t="shared" si="37"/>
        <v>5968.3</v>
      </c>
      <c r="AC144" s="58">
        <v>14969.28</v>
      </c>
      <c r="AD144" s="59">
        <v>6.7500000000000004E-2</v>
      </c>
      <c r="AE144" s="60">
        <f>((AC144*AD144)/365)*180</f>
        <v>498.29247123287672</v>
      </c>
      <c r="AF144" s="61">
        <v>9226.2199999999993</v>
      </c>
      <c r="AG144" s="59">
        <v>7.7499999999999999E-2</v>
      </c>
      <c r="AH144" s="60">
        <f>((AF144*AG144)/365)*180</f>
        <v>352.61854520547939</v>
      </c>
      <c r="AI144" s="62">
        <f>AC144+AF144</f>
        <v>24195.5</v>
      </c>
      <c r="AJ144" s="62">
        <f t="shared" si="6"/>
        <v>850.91101643835611</v>
      </c>
      <c r="AK144" s="63">
        <f t="shared" si="40"/>
        <v>850.91101643835611</v>
      </c>
      <c r="AL144" s="64">
        <f t="shared" si="41"/>
        <v>1619.8010164383563</v>
      </c>
      <c r="AP144" s="65">
        <f t="shared" si="8"/>
        <v>1</v>
      </c>
      <c r="AQ144" s="16">
        <f t="shared" si="9"/>
        <v>1</v>
      </c>
      <c r="AR144" s="16">
        <f t="shared" si="10"/>
        <v>1</v>
      </c>
      <c r="AS144" s="66">
        <f t="shared" si="11"/>
        <v>5327.98</v>
      </c>
      <c r="AT144" s="67">
        <f t="shared" si="12"/>
        <v>24195.5</v>
      </c>
      <c r="AU144" s="68">
        <f t="shared" si="13"/>
        <v>6.1333333333333337</v>
      </c>
      <c r="AV144" s="19">
        <f t="shared" si="14"/>
        <v>3.5339671085236803E-3</v>
      </c>
      <c r="AW144" s="69">
        <f t="shared" si="15"/>
        <v>0</v>
      </c>
      <c r="AY144" s="65">
        <f t="shared" si="16"/>
        <v>0</v>
      </c>
      <c r="AZ144" s="16">
        <f t="shared" si="17"/>
        <v>1</v>
      </c>
      <c r="BA144" s="16">
        <f t="shared" si="18"/>
        <v>0</v>
      </c>
      <c r="BB144" s="70">
        <f t="shared" si="19"/>
        <v>0</v>
      </c>
      <c r="BC144" s="67">
        <f t="shared" si="20"/>
        <v>0</v>
      </c>
      <c r="BD144" s="71">
        <f t="shared" si="21"/>
        <v>0</v>
      </c>
      <c r="BE144" s="19">
        <f t="shared" si="22"/>
        <v>0</v>
      </c>
      <c r="BF144" s="69">
        <f t="shared" si="23"/>
        <v>0</v>
      </c>
      <c r="BH144" s="72">
        <f t="shared" si="24"/>
        <v>24195.5</v>
      </c>
      <c r="BI144" s="73">
        <f t="shared" si="25"/>
        <v>1</v>
      </c>
      <c r="BJ144" s="74">
        <f t="shared" si="26"/>
        <v>2.1510262202001718E-3</v>
      </c>
      <c r="BK144" s="75">
        <f t="shared" si="27"/>
        <v>0</v>
      </c>
      <c r="BM144" s="76">
        <f t="shared" si="28"/>
        <v>1</v>
      </c>
    </row>
    <row r="145" spans="1:65" ht="12.75" customHeight="1" x14ac:dyDescent="0.2">
      <c r="A145" s="47"/>
      <c r="B145" s="48" t="s">
        <v>312</v>
      </c>
      <c r="C145" s="49">
        <v>19170.7</v>
      </c>
      <c r="D145" s="50">
        <v>13</v>
      </c>
      <c r="E145" s="49">
        <v>16895.900000000001</v>
      </c>
      <c r="F145" s="50" t="s">
        <v>55</v>
      </c>
      <c r="G145" s="51">
        <v>41787</v>
      </c>
      <c r="H145" s="52" t="s">
        <v>56</v>
      </c>
      <c r="I145" s="51">
        <v>42152</v>
      </c>
      <c r="J145" s="52">
        <f t="shared" si="0"/>
        <v>12.166666666666666</v>
      </c>
      <c r="K145" s="53" t="s">
        <v>313</v>
      </c>
      <c r="L145" s="53">
        <v>36500</v>
      </c>
      <c r="M145" s="54">
        <v>420.23</v>
      </c>
      <c r="N145" s="54">
        <v>3319.44</v>
      </c>
      <c r="O145" s="54">
        <v>5432.76</v>
      </c>
      <c r="P145" s="54">
        <f t="shared" si="42"/>
        <v>0</v>
      </c>
      <c r="Q145" s="54">
        <f t="shared" si="34"/>
        <v>0</v>
      </c>
      <c r="R145" s="55">
        <f t="shared" si="3"/>
        <v>0</v>
      </c>
      <c r="S145" s="55">
        <f t="shared" si="4"/>
        <v>1</v>
      </c>
      <c r="T145" s="56"/>
      <c r="V145" s="57">
        <v>68</v>
      </c>
      <c r="W145" s="58">
        <v>7.06</v>
      </c>
      <c r="X145" s="58">
        <v>5.25</v>
      </c>
      <c r="Y145" s="58"/>
      <c r="Z145" s="58">
        <f>40.8+147.84+52.64</f>
        <v>241.27999999999997</v>
      </c>
      <c r="AA145" s="58">
        <f>212.91+248.14</f>
        <v>461.04999999999995</v>
      </c>
      <c r="AB145" s="58">
        <f t="shared" si="37"/>
        <v>782.63999999999987</v>
      </c>
      <c r="AC145" s="58"/>
      <c r="AD145" s="59">
        <v>0.02</v>
      </c>
      <c r="AE145" s="60">
        <f>((E145*AD145)/365)*180</f>
        <v>166.64449315068495</v>
      </c>
      <c r="AF145" s="61"/>
      <c r="AG145" s="59"/>
      <c r="AH145" s="60">
        <f>((E145*AG145)/365)*180</f>
        <v>0</v>
      </c>
      <c r="AI145" s="62"/>
      <c r="AJ145" s="62">
        <f t="shared" si="6"/>
        <v>166.64449315068495</v>
      </c>
      <c r="AK145" s="63">
        <f t="shared" si="40"/>
        <v>166.64449315068495</v>
      </c>
      <c r="AL145" s="64">
        <f t="shared" si="41"/>
        <v>420.2344931506849</v>
      </c>
      <c r="AP145" s="65">
        <f t="shared" si="8"/>
        <v>1</v>
      </c>
      <c r="AQ145" s="16">
        <f t="shared" si="9"/>
        <v>1</v>
      </c>
      <c r="AR145" s="16">
        <f t="shared" si="10"/>
        <v>1</v>
      </c>
      <c r="AS145" s="66">
        <f t="shared" si="11"/>
        <v>8752.2000000000007</v>
      </c>
      <c r="AT145" s="67">
        <f t="shared" si="12"/>
        <v>16895.900000000001</v>
      </c>
      <c r="AU145" s="68">
        <f t="shared" si="13"/>
        <v>12.166666666666666</v>
      </c>
      <c r="AV145" s="19">
        <f t="shared" si="14"/>
        <v>2.467795865714916E-3</v>
      </c>
      <c r="AW145" s="69">
        <f t="shared" si="15"/>
        <v>0</v>
      </c>
      <c r="AY145" s="65">
        <f t="shared" si="16"/>
        <v>0</v>
      </c>
      <c r="AZ145" s="16">
        <f t="shared" si="17"/>
        <v>1</v>
      </c>
      <c r="BA145" s="16">
        <f t="shared" si="18"/>
        <v>0</v>
      </c>
      <c r="BB145" s="70">
        <f t="shared" si="19"/>
        <v>0</v>
      </c>
      <c r="BC145" s="67">
        <f t="shared" si="20"/>
        <v>0</v>
      </c>
      <c r="BD145" s="71">
        <f t="shared" si="21"/>
        <v>0</v>
      </c>
      <c r="BE145" s="19">
        <f t="shared" si="22"/>
        <v>0</v>
      </c>
      <c r="BF145" s="69">
        <f t="shared" si="23"/>
        <v>0</v>
      </c>
      <c r="BH145" s="72">
        <f t="shared" si="24"/>
        <v>16895.900000000001</v>
      </c>
      <c r="BI145" s="73">
        <f t="shared" si="25"/>
        <v>1</v>
      </c>
      <c r="BJ145" s="74">
        <f t="shared" si="26"/>
        <v>1.5020778208294967E-3</v>
      </c>
      <c r="BK145" s="75">
        <f t="shared" si="27"/>
        <v>0</v>
      </c>
      <c r="BM145" s="76">
        <f t="shared" si="28"/>
        <v>1</v>
      </c>
    </row>
    <row r="146" spans="1:65" ht="12.75" customHeight="1" x14ac:dyDescent="0.2">
      <c r="A146" s="47"/>
      <c r="B146" s="48" t="s">
        <v>314</v>
      </c>
      <c r="C146" s="49">
        <v>31500</v>
      </c>
      <c r="D146" s="50">
        <v>12</v>
      </c>
      <c r="E146" s="49">
        <v>27644.980000000003</v>
      </c>
      <c r="F146" s="50" t="s">
        <v>55</v>
      </c>
      <c r="G146" s="51">
        <v>41801</v>
      </c>
      <c r="H146" s="52" t="s">
        <v>56</v>
      </c>
      <c r="I146" s="51">
        <v>41880</v>
      </c>
      <c r="J146" s="52">
        <f t="shared" si="0"/>
        <v>2.6333333333333333</v>
      </c>
      <c r="K146" s="53" t="s">
        <v>315</v>
      </c>
      <c r="L146" s="53">
        <v>50000</v>
      </c>
      <c r="M146" s="54">
        <v>1249.26</v>
      </c>
      <c r="N146" s="54">
        <v>4673.1400000000003</v>
      </c>
      <c r="O146" s="54">
        <v>1361.43</v>
      </c>
      <c r="P146" s="54">
        <f t="shared" si="42"/>
        <v>0</v>
      </c>
      <c r="Q146" s="54">
        <f t="shared" si="34"/>
        <v>0</v>
      </c>
      <c r="R146" s="55">
        <f t="shared" si="3"/>
        <v>0</v>
      </c>
      <c r="S146" s="55">
        <f t="shared" si="4"/>
        <v>1</v>
      </c>
      <c r="T146" s="56"/>
      <c r="V146" s="57">
        <v>31.4</v>
      </c>
      <c r="W146" s="58"/>
      <c r="X146" s="58">
        <v>2.2000000000000002</v>
      </c>
      <c r="Y146" s="58">
        <v>54.43</v>
      </c>
      <c r="Z146" s="58">
        <f>46.6+148.8+47+35.16+15.96</f>
        <v>293.52</v>
      </c>
      <c r="AA146" s="58">
        <f>462.2+1526.56</f>
        <v>1988.76</v>
      </c>
      <c r="AB146" s="58">
        <f t="shared" si="37"/>
        <v>2370.3099999999995</v>
      </c>
      <c r="AC146" s="58">
        <v>22388.720000000001</v>
      </c>
      <c r="AD146" s="59">
        <v>6.5000000000000002E-2</v>
      </c>
      <c r="AE146" s="60">
        <f t="shared" ref="AE146:AE147" si="43">((AC146*AD146)/365)*180</f>
        <v>717.66581917808219</v>
      </c>
      <c r="AF146" s="61">
        <v>5256.26</v>
      </c>
      <c r="AG146" s="59">
        <v>7.0000000000000007E-2</v>
      </c>
      <c r="AH146" s="60">
        <f t="shared" ref="AH146:AH147" si="44">((AF146*AG146)/365)*180</f>
        <v>181.44897534246576</v>
      </c>
      <c r="AI146" s="62">
        <f t="shared" ref="AI146:AI147" si="45">AC146+AF146</f>
        <v>27644.980000000003</v>
      </c>
      <c r="AJ146" s="62">
        <f t="shared" si="6"/>
        <v>899.114794520548</v>
      </c>
      <c r="AK146" s="63">
        <f t="shared" si="40"/>
        <v>899.114794520548</v>
      </c>
      <c r="AL146" s="64">
        <f t="shared" si="41"/>
        <v>1249.2647945205481</v>
      </c>
      <c r="AP146" s="65">
        <f t="shared" si="8"/>
        <v>1</v>
      </c>
      <c r="AQ146" s="16">
        <f t="shared" si="9"/>
        <v>1</v>
      </c>
      <c r="AR146" s="16">
        <f t="shared" si="10"/>
        <v>1</v>
      </c>
      <c r="AS146" s="66">
        <f t="shared" si="11"/>
        <v>6034.5700000000006</v>
      </c>
      <c r="AT146" s="67">
        <f t="shared" si="12"/>
        <v>27644.980000000003</v>
      </c>
      <c r="AU146" s="68">
        <f t="shared" si="13"/>
        <v>2.6333333333333333</v>
      </c>
      <c r="AV146" s="19">
        <f t="shared" si="14"/>
        <v>4.0377942194124933E-3</v>
      </c>
      <c r="AW146" s="69">
        <f t="shared" si="15"/>
        <v>0</v>
      </c>
      <c r="AY146" s="65">
        <f t="shared" si="16"/>
        <v>0</v>
      </c>
      <c r="AZ146" s="16">
        <f t="shared" si="17"/>
        <v>1</v>
      </c>
      <c r="BA146" s="16">
        <f t="shared" si="18"/>
        <v>0</v>
      </c>
      <c r="BB146" s="70">
        <f t="shared" si="19"/>
        <v>0</v>
      </c>
      <c r="BC146" s="67">
        <f t="shared" si="20"/>
        <v>0</v>
      </c>
      <c r="BD146" s="71">
        <f t="shared" si="21"/>
        <v>0</v>
      </c>
      <c r="BE146" s="19">
        <f t="shared" si="22"/>
        <v>0</v>
      </c>
      <c r="BF146" s="69">
        <f t="shared" si="23"/>
        <v>0</v>
      </c>
      <c r="BH146" s="72">
        <f t="shared" si="24"/>
        <v>27644.980000000003</v>
      </c>
      <c r="BI146" s="73">
        <f t="shared" si="25"/>
        <v>1</v>
      </c>
      <c r="BJ146" s="74">
        <f t="shared" si="26"/>
        <v>2.4576915888040898E-3</v>
      </c>
      <c r="BK146" s="75">
        <f t="shared" si="27"/>
        <v>0</v>
      </c>
      <c r="BM146" s="76">
        <f t="shared" si="28"/>
        <v>1</v>
      </c>
    </row>
    <row r="147" spans="1:65" ht="12.75" customHeight="1" x14ac:dyDescent="0.2">
      <c r="A147" s="47"/>
      <c r="B147" s="48" t="s">
        <v>316</v>
      </c>
      <c r="C147" s="49">
        <v>14667.89</v>
      </c>
      <c r="D147" s="50">
        <v>11</v>
      </c>
      <c r="E147" s="49">
        <v>14662.51</v>
      </c>
      <c r="F147" s="50" t="s">
        <v>55</v>
      </c>
      <c r="G147" s="51">
        <v>41818</v>
      </c>
      <c r="H147" s="52" t="s">
        <v>56</v>
      </c>
      <c r="I147" s="51">
        <v>41912</v>
      </c>
      <c r="J147" s="52">
        <f t="shared" si="0"/>
        <v>3.1333333333333333</v>
      </c>
      <c r="K147" s="53" t="s">
        <v>317</v>
      </c>
      <c r="L147" s="53">
        <v>32500</v>
      </c>
      <c r="M147" s="54">
        <v>316.83999999999997</v>
      </c>
      <c r="N147" s="54">
        <v>7847.13</v>
      </c>
      <c r="O147" s="54">
        <v>3035</v>
      </c>
      <c r="P147" s="54">
        <f t="shared" si="42"/>
        <v>0</v>
      </c>
      <c r="Q147" s="54">
        <f t="shared" si="34"/>
        <v>0</v>
      </c>
      <c r="R147" s="55">
        <f t="shared" si="3"/>
        <v>0</v>
      </c>
      <c r="S147" s="55">
        <f t="shared" si="4"/>
        <v>1</v>
      </c>
      <c r="T147" s="56"/>
      <c r="V147" s="57">
        <v>9</v>
      </c>
      <c r="W147" s="58"/>
      <c r="X147" s="58">
        <v>0.63</v>
      </c>
      <c r="Y147" s="58"/>
      <c r="Z147" s="58">
        <f>6.93+16.29+7.62+9.76+8.48</f>
        <v>49.08</v>
      </c>
      <c r="AA147" s="58">
        <f>267+0.13</f>
        <v>267.13</v>
      </c>
      <c r="AB147" s="58">
        <f t="shared" si="37"/>
        <v>325.83999999999997</v>
      </c>
      <c r="AC147" s="58">
        <v>12480.42</v>
      </c>
      <c r="AD147" s="59">
        <v>6.5000000000000002E-2</v>
      </c>
      <c r="AE147" s="60">
        <f t="shared" si="43"/>
        <v>400.05729863013698</v>
      </c>
      <c r="AF147" s="61">
        <v>2182.09</v>
      </c>
      <c r="AG147" s="59">
        <v>7.4999999999999997E-2</v>
      </c>
      <c r="AH147" s="60">
        <f t="shared" si="44"/>
        <v>80.707438356164388</v>
      </c>
      <c r="AI147" s="62">
        <f t="shared" si="45"/>
        <v>14662.51</v>
      </c>
      <c r="AJ147" s="62">
        <f t="shared" si="6"/>
        <v>480.76473698630139</v>
      </c>
      <c r="AK147" s="63">
        <f t="shared" si="40"/>
        <v>267.13</v>
      </c>
      <c r="AL147" s="64">
        <f t="shared" si="41"/>
        <v>316.83999999999997</v>
      </c>
      <c r="AP147" s="65">
        <f t="shared" si="8"/>
        <v>1</v>
      </c>
      <c r="AQ147" s="16">
        <f t="shared" si="9"/>
        <v>1</v>
      </c>
      <c r="AR147" s="16">
        <f t="shared" si="10"/>
        <v>1</v>
      </c>
      <c r="AS147" s="66">
        <f t="shared" si="11"/>
        <v>10882.130000000001</v>
      </c>
      <c r="AT147" s="67">
        <f t="shared" si="12"/>
        <v>14662.51</v>
      </c>
      <c r="AU147" s="68">
        <f t="shared" si="13"/>
        <v>3.1333333333333333</v>
      </c>
      <c r="AV147" s="19">
        <f t="shared" si="14"/>
        <v>2.1415894719431111E-3</v>
      </c>
      <c r="AW147" s="69">
        <f t="shared" si="15"/>
        <v>0</v>
      </c>
      <c r="AY147" s="65">
        <f t="shared" si="16"/>
        <v>0</v>
      </c>
      <c r="AZ147" s="16">
        <f t="shared" si="17"/>
        <v>1</v>
      </c>
      <c r="BA147" s="16">
        <f t="shared" si="18"/>
        <v>0</v>
      </c>
      <c r="BB147" s="70">
        <f t="shared" si="19"/>
        <v>0</v>
      </c>
      <c r="BC147" s="67">
        <f t="shared" si="20"/>
        <v>0</v>
      </c>
      <c r="BD147" s="71">
        <f t="shared" si="21"/>
        <v>0</v>
      </c>
      <c r="BE147" s="19">
        <f t="shared" si="22"/>
        <v>0</v>
      </c>
      <c r="BF147" s="69">
        <f t="shared" si="23"/>
        <v>0</v>
      </c>
      <c r="BH147" s="72">
        <f t="shared" si="24"/>
        <v>14662.51</v>
      </c>
      <c r="BI147" s="73">
        <f t="shared" si="25"/>
        <v>1</v>
      </c>
      <c r="BJ147" s="74">
        <f t="shared" si="26"/>
        <v>1.3035251788120609E-3</v>
      </c>
      <c r="BK147" s="75">
        <f t="shared" si="27"/>
        <v>0</v>
      </c>
      <c r="BM147" s="76">
        <f t="shared" si="28"/>
        <v>1</v>
      </c>
    </row>
    <row r="148" spans="1:65" ht="12.75" customHeight="1" x14ac:dyDescent="0.2">
      <c r="A148" s="47"/>
      <c r="B148" s="48" t="s">
        <v>318</v>
      </c>
      <c r="C148" s="49">
        <v>16785.939999999999</v>
      </c>
      <c r="D148" s="50">
        <v>13</v>
      </c>
      <c r="E148" s="49">
        <v>14511.61</v>
      </c>
      <c r="F148" s="50" t="s">
        <v>55</v>
      </c>
      <c r="G148" s="51">
        <v>41818</v>
      </c>
      <c r="H148" s="52" t="s">
        <v>56</v>
      </c>
      <c r="I148" s="51">
        <v>42428</v>
      </c>
      <c r="J148" s="52">
        <f t="shared" si="0"/>
        <v>20.333333333333332</v>
      </c>
      <c r="K148" s="53" t="s">
        <v>319</v>
      </c>
      <c r="L148" s="53">
        <v>36500</v>
      </c>
      <c r="M148" s="54">
        <v>676.04</v>
      </c>
      <c r="N148" s="54">
        <v>6347.64</v>
      </c>
      <c r="O148" s="54">
        <v>4518.3100000000004</v>
      </c>
      <c r="P148" s="54">
        <f t="shared" si="42"/>
        <v>0</v>
      </c>
      <c r="Q148" s="54">
        <f t="shared" si="34"/>
        <v>0</v>
      </c>
      <c r="R148" s="55">
        <f t="shared" si="3"/>
        <v>0</v>
      </c>
      <c r="S148" s="55">
        <f t="shared" si="4"/>
        <v>1</v>
      </c>
      <c r="T148" s="56"/>
      <c r="V148" s="57">
        <v>212.4</v>
      </c>
      <c r="W148" s="58"/>
      <c r="X148" s="58">
        <v>14.87</v>
      </c>
      <c r="Y148" s="58"/>
      <c r="Z148" s="58">
        <f>81.36+327.6+109.08</f>
        <v>518.04000000000008</v>
      </c>
      <c r="AA148" s="58">
        <v>894.55</v>
      </c>
      <c r="AB148" s="58">
        <f t="shared" si="37"/>
        <v>1639.8600000000001</v>
      </c>
      <c r="AC148" s="58"/>
      <c r="AD148" s="59">
        <v>0.02</v>
      </c>
      <c r="AE148" s="60">
        <f t="shared" ref="AE148:AE152" si="46">((E148*AD148)/365)*180</f>
        <v>143.12820821917808</v>
      </c>
      <c r="AF148" s="61"/>
      <c r="AG148" s="59"/>
      <c r="AH148" s="60">
        <f t="shared" ref="AH148:AH152" si="47">((E148*AG148)/365)*180</f>
        <v>0</v>
      </c>
      <c r="AI148" s="62"/>
      <c r="AJ148" s="62">
        <f t="shared" si="6"/>
        <v>143.12820821917808</v>
      </c>
      <c r="AK148" s="63">
        <f t="shared" si="40"/>
        <v>143.12820821917808</v>
      </c>
      <c r="AL148" s="64">
        <f t="shared" si="41"/>
        <v>676.03820821917816</v>
      </c>
      <c r="AP148" s="65">
        <f t="shared" si="8"/>
        <v>1</v>
      </c>
      <c r="AQ148" s="16">
        <f t="shared" si="9"/>
        <v>1</v>
      </c>
      <c r="AR148" s="16">
        <f t="shared" si="10"/>
        <v>1</v>
      </c>
      <c r="AS148" s="66">
        <f t="shared" si="11"/>
        <v>10865.95</v>
      </c>
      <c r="AT148" s="67">
        <f t="shared" si="12"/>
        <v>14511.61</v>
      </c>
      <c r="AU148" s="68">
        <f t="shared" si="13"/>
        <v>20.333333333333332</v>
      </c>
      <c r="AV148" s="19">
        <f t="shared" si="14"/>
        <v>2.119549190209887E-3</v>
      </c>
      <c r="AW148" s="69">
        <f t="shared" si="15"/>
        <v>0</v>
      </c>
      <c r="AY148" s="65">
        <f t="shared" si="16"/>
        <v>0</v>
      </c>
      <c r="AZ148" s="16">
        <f t="shared" si="17"/>
        <v>1</v>
      </c>
      <c r="BA148" s="16">
        <f t="shared" si="18"/>
        <v>0</v>
      </c>
      <c r="BB148" s="70">
        <f t="shared" si="19"/>
        <v>0</v>
      </c>
      <c r="BC148" s="67">
        <f t="shared" si="20"/>
        <v>0</v>
      </c>
      <c r="BD148" s="71">
        <f t="shared" si="21"/>
        <v>0</v>
      </c>
      <c r="BE148" s="19">
        <f t="shared" si="22"/>
        <v>0</v>
      </c>
      <c r="BF148" s="69">
        <f t="shared" si="23"/>
        <v>0</v>
      </c>
      <c r="BH148" s="72">
        <f t="shared" si="24"/>
        <v>14511.61</v>
      </c>
      <c r="BI148" s="73">
        <f t="shared" si="25"/>
        <v>1</v>
      </c>
      <c r="BJ148" s="74">
        <f t="shared" si="26"/>
        <v>1.2901098802388467E-3</v>
      </c>
      <c r="BK148" s="75">
        <f t="shared" si="27"/>
        <v>0</v>
      </c>
      <c r="BM148" s="76">
        <f t="shared" si="28"/>
        <v>1</v>
      </c>
    </row>
    <row r="149" spans="1:65" ht="12.75" customHeight="1" x14ac:dyDescent="0.2">
      <c r="A149" s="47"/>
      <c r="B149" s="48" t="s">
        <v>320</v>
      </c>
      <c r="C149" s="49">
        <v>15288.41</v>
      </c>
      <c r="D149" s="50">
        <v>12</v>
      </c>
      <c r="E149" s="49">
        <v>13723.06</v>
      </c>
      <c r="F149" s="50" t="s">
        <v>55</v>
      </c>
      <c r="G149" s="51">
        <v>41848</v>
      </c>
      <c r="H149" s="52" t="s">
        <v>56</v>
      </c>
      <c r="I149" s="51">
        <v>42001</v>
      </c>
      <c r="J149" s="52">
        <f t="shared" si="0"/>
        <v>5.0999999999999996</v>
      </c>
      <c r="K149" s="53" t="s">
        <v>180</v>
      </c>
      <c r="L149" s="53">
        <v>35150</v>
      </c>
      <c r="M149" s="54">
        <v>629.67999999999995</v>
      </c>
      <c r="N149" s="54">
        <v>3971.58</v>
      </c>
      <c r="O149" s="54">
        <v>4655.58</v>
      </c>
      <c r="P149" s="54">
        <f t="shared" si="42"/>
        <v>0</v>
      </c>
      <c r="Q149" s="54">
        <f t="shared" si="34"/>
        <v>0</v>
      </c>
      <c r="R149" s="55">
        <f t="shared" si="3"/>
        <v>0</v>
      </c>
      <c r="S149" s="55">
        <f t="shared" si="4"/>
        <v>1</v>
      </c>
      <c r="T149" s="56"/>
      <c r="V149" s="57">
        <v>59.5</v>
      </c>
      <c r="W149" s="58"/>
      <c r="X149" s="58">
        <v>4.17</v>
      </c>
      <c r="Y149" s="58"/>
      <c r="Z149" s="58">
        <f>30.1+99.12+39.48</f>
        <v>168.7</v>
      </c>
      <c r="AA149" s="58">
        <v>1152.17</v>
      </c>
      <c r="AB149" s="58">
        <f t="shared" si="37"/>
        <v>1384.5400000000002</v>
      </c>
      <c r="AC149" s="58"/>
      <c r="AD149" s="59">
        <v>6.7500000000000004E-2</v>
      </c>
      <c r="AE149" s="60">
        <f t="shared" si="46"/>
        <v>456.80870958904114</v>
      </c>
      <c r="AF149" s="61"/>
      <c r="AG149" s="59"/>
      <c r="AH149" s="60">
        <f t="shared" si="47"/>
        <v>0</v>
      </c>
      <c r="AI149" s="62"/>
      <c r="AJ149" s="62">
        <f t="shared" si="6"/>
        <v>456.80870958904114</v>
      </c>
      <c r="AK149" s="63">
        <f t="shared" si="40"/>
        <v>456.80870958904114</v>
      </c>
      <c r="AL149" s="64">
        <f t="shared" si="41"/>
        <v>629.67870958904109</v>
      </c>
      <c r="AP149" s="65">
        <f t="shared" si="8"/>
        <v>1</v>
      </c>
      <c r="AQ149" s="16">
        <f t="shared" si="9"/>
        <v>1</v>
      </c>
      <c r="AR149" s="16">
        <f t="shared" si="10"/>
        <v>1</v>
      </c>
      <c r="AS149" s="66">
        <f t="shared" si="11"/>
        <v>8627.16</v>
      </c>
      <c r="AT149" s="67">
        <f t="shared" si="12"/>
        <v>13723.06</v>
      </c>
      <c r="AU149" s="68">
        <f t="shared" si="13"/>
        <v>5.0999999999999996</v>
      </c>
      <c r="AV149" s="19">
        <f t="shared" si="14"/>
        <v>2.0043744774150968E-3</v>
      </c>
      <c r="AW149" s="69">
        <f t="shared" si="15"/>
        <v>0</v>
      </c>
      <c r="AY149" s="65">
        <f t="shared" si="16"/>
        <v>0</v>
      </c>
      <c r="AZ149" s="16">
        <f t="shared" si="17"/>
        <v>1</v>
      </c>
      <c r="BA149" s="16">
        <f t="shared" si="18"/>
        <v>0</v>
      </c>
      <c r="BB149" s="70">
        <f t="shared" si="19"/>
        <v>0</v>
      </c>
      <c r="BC149" s="67">
        <f t="shared" si="20"/>
        <v>0</v>
      </c>
      <c r="BD149" s="71">
        <f t="shared" si="21"/>
        <v>0</v>
      </c>
      <c r="BE149" s="19">
        <f t="shared" si="22"/>
        <v>0</v>
      </c>
      <c r="BF149" s="69">
        <f t="shared" si="23"/>
        <v>0</v>
      </c>
      <c r="BH149" s="72">
        <f t="shared" si="24"/>
        <v>13723.06</v>
      </c>
      <c r="BI149" s="73">
        <f t="shared" si="25"/>
        <v>1</v>
      </c>
      <c r="BJ149" s="74">
        <f t="shared" si="26"/>
        <v>1.2200062772573482E-3</v>
      </c>
      <c r="BK149" s="75">
        <f t="shared" si="27"/>
        <v>0</v>
      </c>
      <c r="BM149" s="76">
        <f t="shared" si="28"/>
        <v>1</v>
      </c>
    </row>
    <row r="150" spans="1:65" ht="12.75" customHeight="1" x14ac:dyDescent="0.2">
      <c r="A150" s="47"/>
      <c r="B150" s="48" t="s">
        <v>321</v>
      </c>
      <c r="C150" s="49">
        <v>25000</v>
      </c>
      <c r="D150" s="50">
        <v>13</v>
      </c>
      <c r="E150" s="49">
        <v>24331.759999999998</v>
      </c>
      <c r="F150" s="50" t="s">
        <v>55</v>
      </c>
      <c r="G150" s="51">
        <v>41848</v>
      </c>
      <c r="H150" s="52" t="s">
        <v>56</v>
      </c>
      <c r="I150" s="51">
        <v>42001</v>
      </c>
      <c r="J150" s="52">
        <f t="shared" si="0"/>
        <v>5.0999999999999996</v>
      </c>
      <c r="K150" s="53" t="s">
        <v>322</v>
      </c>
      <c r="L150" s="53">
        <v>39425</v>
      </c>
      <c r="M150" s="54">
        <v>969.39</v>
      </c>
      <c r="N150" s="54">
        <v>4249.47</v>
      </c>
      <c r="O150" s="54">
        <v>1290</v>
      </c>
      <c r="P150" s="54">
        <f t="shared" si="42"/>
        <v>0</v>
      </c>
      <c r="Q150" s="54">
        <f t="shared" si="34"/>
        <v>0</v>
      </c>
      <c r="R150" s="55">
        <f t="shared" si="3"/>
        <v>0</v>
      </c>
      <c r="S150" s="55">
        <f t="shared" si="4"/>
        <v>1</v>
      </c>
      <c r="T150" s="56"/>
      <c r="V150" s="57">
        <v>229.5</v>
      </c>
      <c r="W150" s="58"/>
      <c r="X150" s="58">
        <v>16.07</v>
      </c>
      <c r="Y150" s="58"/>
      <c r="Z150" s="58">
        <f>179.82+312.12+221.4</f>
        <v>713.34</v>
      </c>
      <c r="AA150" s="58">
        <v>2191.86</v>
      </c>
      <c r="AB150" s="58">
        <f t="shared" si="37"/>
        <v>3150.7700000000004</v>
      </c>
      <c r="AC150" s="58"/>
      <c r="AD150" s="59">
        <v>0.02</v>
      </c>
      <c r="AE150" s="60">
        <f t="shared" si="46"/>
        <v>239.98448219178081</v>
      </c>
      <c r="AF150" s="61"/>
      <c r="AG150" s="59"/>
      <c r="AH150" s="60">
        <f t="shared" si="47"/>
        <v>0</v>
      </c>
      <c r="AI150" s="62"/>
      <c r="AJ150" s="62">
        <f t="shared" si="6"/>
        <v>239.98448219178081</v>
      </c>
      <c r="AK150" s="63">
        <f t="shared" si="40"/>
        <v>239.98448219178081</v>
      </c>
      <c r="AL150" s="64">
        <f t="shared" si="41"/>
        <v>969.39448219178087</v>
      </c>
      <c r="AP150" s="65">
        <f t="shared" si="8"/>
        <v>1</v>
      </c>
      <c r="AQ150" s="16">
        <f t="shared" si="9"/>
        <v>1</v>
      </c>
      <c r="AR150" s="16">
        <f t="shared" si="10"/>
        <v>1</v>
      </c>
      <c r="AS150" s="66">
        <f t="shared" si="11"/>
        <v>5539.47</v>
      </c>
      <c r="AT150" s="67">
        <f t="shared" si="12"/>
        <v>24331.759999999998</v>
      </c>
      <c r="AU150" s="68">
        <f t="shared" si="13"/>
        <v>5.0999999999999996</v>
      </c>
      <c r="AV150" s="19">
        <f t="shared" si="14"/>
        <v>3.5538690885698635E-3</v>
      </c>
      <c r="AW150" s="69">
        <f t="shared" si="15"/>
        <v>0</v>
      </c>
      <c r="AY150" s="65">
        <f t="shared" si="16"/>
        <v>0</v>
      </c>
      <c r="AZ150" s="16">
        <f t="shared" si="17"/>
        <v>1</v>
      </c>
      <c r="BA150" s="16">
        <f t="shared" si="18"/>
        <v>0</v>
      </c>
      <c r="BB150" s="70">
        <f t="shared" si="19"/>
        <v>0</v>
      </c>
      <c r="BC150" s="67">
        <f t="shared" si="20"/>
        <v>0</v>
      </c>
      <c r="BD150" s="71">
        <f t="shared" si="21"/>
        <v>0</v>
      </c>
      <c r="BE150" s="19">
        <f t="shared" si="22"/>
        <v>0</v>
      </c>
      <c r="BF150" s="69">
        <f t="shared" si="23"/>
        <v>0</v>
      </c>
      <c r="BH150" s="72">
        <f t="shared" si="24"/>
        <v>24331.759999999998</v>
      </c>
      <c r="BI150" s="73">
        <f t="shared" si="25"/>
        <v>1</v>
      </c>
      <c r="BJ150" s="74">
        <f t="shared" si="26"/>
        <v>2.163139994776621E-3</v>
      </c>
      <c r="BK150" s="75">
        <f t="shared" si="27"/>
        <v>0</v>
      </c>
      <c r="BM150" s="76">
        <f t="shared" si="28"/>
        <v>1</v>
      </c>
    </row>
    <row r="151" spans="1:65" ht="12.75" customHeight="1" x14ac:dyDescent="0.2">
      <c r="A151" s="47"/>
      <c r="B151" s="48" t="s">
        <v>323</v>
      </c>
      <c r="C151" s="49">
        <v>17964.29</v>
      </c>
      <c r="D151" s="50">
        <v>13</v>
      </c>
      <c r="E151" s="49">
        <v>15110.6</v>
      </c>
      <c r="F151" s="50" t="s">
        <v>55</v>
      </c>
      <c r="G151" s="51">
        <v>41879</v>
      </c>
      <c r="H151" s="52" t="s">
        <v>56</v>
      </c>
      <c r="I151" s="51">
        <v>42001</v>
      </c>
      <c r="J151" s="52">
        <f t="shared" si="0"/>
        <v>4.0666666666666664</v>
      </c>
      <c r="K151" s="53" t="s">
        <v>324</v>
      </c>
      <c r="L151" s="53">
        <v>26500</v>
      </c>
      <c r="M151" s="54">
        <v>289.2</v>
      </c>
      <c r="N151" s="54">
        <v>382</v>
      </c>
      <c r="O151" s="54">
        <v>240</v>
      </c>
      <c r="P151" s="54">
        <f t="shared" si="42"/>
        <v>0</v>
      </c>
      <c r="Q151" s="54">
        <f t="shared" si="34"/>
        <v>0</v>
      </c>
      <c r="R151" s="55">
        <f t="shared" si="3"/>
        <v>0</v>
      </c>
      <c r="S151" s="55">
        <f t="shared" si="4"/>
        <v>1</v>
      </c>
      <c r="T151" s="56"/>
      <c r="V151" s="57">
        <v>12</v>
      </c>
      <c r="W151" s="58"/>
      <c r="X151" s="58">
        <v>0.84</v>
      </c>
      <c r="Y151" s="58"/>
      <c r="Z151" s="58">
        <f>28.68+74.64+36</f>
        <v>139.32</v>
      </c>
      <c r="AA151" s="58">
        <v>312.14999999999998</v>
      </c>
      <c r="AB151" s="58">
        <f t="shared" si="37"/>
        <v>464.30999999999995</v>
      </c>
      <c r="AC151" s="58"/>
      <c r="AD151" s="59">
        <v>0.02</v>
      </c>
      <c r="AE151" s="60">
        <f t="shared" si="46"/>
        <v>149.03605479452054</v>
      </c>
      <c r="AF151" s="61"/>
      <c r="AG151" s="59"/>
      <c r="AH151" s="60">
        <f t="shared" si="47"/>
        <v>0</v>
      </c>
      <c r="AI151" s="62"/>
      <c r="AJ151" s="62">
        <f t="shared" si="6"/>
        <v>149.03605479452054</v>
      </c>
      <c r="AK151" s="63">
        <f t="shared" si="40"/>
        <v>149.03605479452054</v>
      </c>
      <c r="AL151" s="64">
        <f t="shared" si="41"/>
        <v>289.19605479452053</v>
      </c>
      <c r="AP151" s="65">
        <f t="shared" si="8"/>
        <v>1</v>
      </c>
      <c r="AQ151" s="16">
        <f t="shared" si="9"/>
        <v>1</v>
      </c>
      <c r="AR151" s="16">
        <f t="shared" si="10"/>
        <v>1</v>
      </c>
      <c r="AS151" s="66">
        <f t="shared" si="11"/>
        <v>622</v>
      </c>
      <c r="AT151" s="67">
        <f t="shared" si="12"/>
        <v>15110.6</v>
      </c>
      <c r="AU151" s="68">
        <f t="shared" si="13"/>
        <v>4.0666666666666664</v>
      </c>
      <c r="AV151" s="19">
        <f t="shared" si="14"/>
        <v>2.2070369858055391E-3</v>
      </c>
      <c r="AW151" s="69">
        <f t="shared" si="15"/>
        <v>0</v>
      </c>
      <c r="AY151" s="65">
        <f t="shared" si="16"/>
        <v>0</v>
      </c>
      <c r="AZ151" s="16">
        <f t="shared" si="17"/>
        <v>1</v>
      </c>
      <c r="BA151" s="16">
        <f t="shared" si="18"/>
        <v>0</v>
      </c>
      <c r="BB151" s="70">
        <f t="shared" si="19"/>
        <v>0</v>
      </c>
      <c r="BC151" s="67">
        <f t="shared" si="20"/>
        <v>0</v>
      </c>
      <c r="BD151" s="71">
        <f t="shared" si="21"/>
        <v>0</v>
      </c>
      <c r="BE151" s="19">
        <f t="shared" si="22"/>
        <v>0</v>
      </c>
      <c r="BF151" s="69">
        <f t="shared" si="23"/>
        <v>0</v>
      </c>
      <c r="BH151" s="72">
        <f t="shared" si="24"/>
        <v>15110.6</v>
      </c>
      <c r="BI151" s="73">
        <f t="shared" si="25"/>
        <v>1</v>
      </c>
      <c r="BJ151" s="74">
        <f t="shared" si="26"/>
        <v>1.3433612367157826E-3</v>
      </c>
      <c r="BK151" s="75">
        <f t="shared" si="27"/>
        <v>0</v>
      </c>
      <c r="BM151" s="76">
        <f t="shared" si="28"/>
        <v>1</v>
      </c>
    </row>
    <row r="152" spans="1:65" ht="12.75" customHeight="1" x14ac:dyDescent="0.2">
      <c r="A152" s="47"/>
      <c r="B152" s="48" t="s">
        <v>325</v>
      </c>
      <c r="C152" s="49">
        <v>22398</v>
      </c>
      <c r="D152" s="50">
        <v>13</v>
      </c>
      <c r="E152" s="49">
        <v>19569.650000000001</v>
      </c>
      <c r="F152" s="50" t="s">
        <v>55</v>
      </c>
      <c r="G152" s="51">
        <v>41910</v>
      </c>
      <c r="H152" s="52" t="s">
        <v>56</v>
      </c>
      <c r="I152" s="51">
        <v>42002</v>
      </c>
      <c r="J152" s="52">
        <f t="shared" si="0"/>
        <v>3.0666666666666669</v>
      </c>
      <c r="K152" s="53" t="s">
        <v>326</v>
      </c>
      <c r="L152" s="53">
        <v>35500</v>
      </c>
      <c r="M152" s="54">
        <v>381.97</v>
      </c>
      <c r="N152" s="54">
        <v>3816</v>
      </c>
      <c r="O152" s="54">
        <v>3488.02</v>
      </c>
      <c r="P152" s="54">
        <f t="shared" si="42"/>
        <v>0</v>
      </c>
      <c r="Q152" s="54">
        <f t="shared" si="34"/>
        <v>0</v>
      </c>
      <c r="R152" s="55">
        <f t="shared" si="3"/>
        <v>0</v>
      </c>
      <c r="S152" s="55">
        <f t="shared" si="4"/>
        <v>1</v>
      </c>
      <c r="T152" s="56"/>
      <c r="V152" s="57">
        <v>76.5</v>
      </c>
      <c r="W152" s="58"/>
      <c r="X152" s="58">
        <v>5.36</v>
      </c>
      <c r="Y152" s="58"/>
      <c r="Z152" s="58">
        <f>53.64+88.92+65.16</f>
        <v>207.72</v>
      </c>
      <c r="AA152" s="58">
        <v>514.16999999999996</v>
      </c>
      <c r="AB152" s="58">
        <f t="shared" si="37"/>
        <v>803.75</v>
      </c>
      <c r="AC152" s="58"/>
      <c r="AD152" s="59">
        <v>1.7500000000000002E-2</v>
      </c>
      <c r="AE152" s="60">
        <f t="shared" si="46"/>
        <v>168.88876027397265</v>
      </c>
      <c r="AF152" s="61"/>
      <c r="AG152" s="59"/>
      <c r="AH152" s="60">
        <f t="shared" si="47"/>
        <v>0</v>
      </c>
      <c r="AI152" s="62"/>
      <c r="AJ152" s="62">
        <f t="shared" si="6"/>
        <v>168.88876027397265</v>
      </c>
      <c r="AK152" s="63">
        <f t="shared" si="40"/>
        <v>168.88876027397265</v>
      </c>
      <c r="AL152" s="64">
        <f t="shared" si="41"/>
        <v>381.96876027397263</v>
      </c>
      <c r="AP152" s="65">
        <f t="shared" si="8"/>
        <v>1</v>
      </c>
      <c r="AQ152" s="16">
        <f t="shared" si="9"/>
        <v>1</v>
      </c>
      <c r="AR152" s="16">
        <f t="shared" si="10"/>
        <v>1</v>
      </c>
      <c r="AS152" s="66">
        <f t="shared" si="11"/>
        <v>7304.02</v>
      </c>
      <c r="AT152" s="67">
        <f t="shared" si="12"/>
        <v>19569.650000000001</v>
      </c>
      <c r="AU152" s="68">
        <f t="shared" si="13"/>
        <v>3.0666666666666669</v>
      </c>
      <c r="AV152" s="19">
        <f t="shared" si="14"/>
        <v>2.8583207383736826E-3</v>
      </c>
      <c r="AW152" s="69">
        <f t="shared" si="15"/>
        <v>0</v>
      </c>
      <c r="AY152" s="65">
        <f t="shared" si="16"/>
        <v>0</v>
      </c>
      <c r="AZ152" s="16">
        <f t="shared" si="17"/>
        <v>1</v>
      </c>
      <c r="BA152" s="16">
        <f t="shared" si="18"/>
        <v>0</v>
      </c>
      <c r="BB152" s="70">
        <f t="shared" si="19"/>
        <v>0</v>
      </c>
      <c r="BC152" s="67">
        <f t="shared" si="20"/>
        <v>0</v>
      </c>
      <c r="BD152" s="71">
        <f t="shared" si="21"/>
        <v>0</v>
      </c>
      <c r="BE152" s="19">
        <f t="shared" si="22"/>
        <v>0</v>
      </c>
      <c r="BF152" s="69">
        <f t="shared" si="23"/>
        <v>0</v>
      </c>
      <c r="BH152" s="72">
        <f t="shared" si="24"/>
        <v>19569.650000000001</v>
      </c>
      <c r="BI152" s="73">
        <f t="shared" si="25"/>
        <v>1</v>
      </c>
      <c r="BJ152" s="74">
        <f t="shared" si="26"/>
        <v>1.7397793089682088E-3</v>
      </c>
      <c r="BK152" s="75">
        <f t="shared" si="27"/>
        <v>0</v>
      </c>
      <c r="BM152" s="76">
        <f t="shared" si="28"/>
        <v>1</v>
      </c>
    </row>
    <row r="153" spans="1:65" ht="12.75" customHeight="1" x14ac:dyDescent="0.2">
      <c r="A153" s="47"/>
      <c r="B153" s="48" t="s">
        <v>327</v>
      </c>
      <c r="C153" s="49">
        <v>33733</v>
      </c>
      <c r="D153" s="50">
        <v>13</v>
      </c>
      <c r="E153" s="49">
        <v>31965.95</v>
      </c>
      <c r="F153" s="50" t="s">
        <v>55</v>
      </c>
      <c r="G153" s="51">
        <v>41971</v>
      </c>
      <c r="H153" s="52" t="s">
        <v>56</v>
      </c>
      <c r="I153" s="51">
        <v>42308</v>
      </c>
      <c r="J153" s="52">
        <f t="shared" si="0"/>
        <v>11.233333333333333</v>
      </c>
      <c r="K153" s="53" t="s">
        <v>180</v>
      </c>
      <c r="L153" s="53">
        <v>53300</v>
      </c>
      <c r="M153" s="54">
        <v>1418.8</v>
      </c>
      <c r="N153" s="54">
        <v>4640.17</v>
      </c>
      <c r="O153" s="54">
        <v>1111.29</v>
      </c>
      <c r="P153" s="54">
        <f t="shared" si="42"/>
        <v>0</v>
      </c>
      <c r="Q153" s="54">
        <f t="shared" si="34"/>
        <v>0</v>
      </c>
      <c r="R153" s="55">
        <f t="shared" si="3"/>
        <v>0</v>
      </c>
      <c r="S153" s="55">
        <f t="shared" si="4"/>
        <v>1</v>
      </c>
      <c r="T153" s="56"/>
      <c r="V153" s="57"/>
      <c r="W153" s="58"/>
      <c r="X153" s="58"/>
      <c r="Y153" s="58">
        <v>132.34</v>
      </c>
      <c r="Z153" s="58">
        <f>164.67</f>
        <v>164.67</v>
      </c>
      <c r="AA153" s="58">
        <f>1297.39+5897.07</f>
        <v>7194.46</v>
      </c>
      <c r="AB153" s="58">
        <f t="shared" si="37"/>
        <v>7491.47</v>
      </c>
      <c r="AC153" s="58">
        <v>27016.7</v>
      </c>
      <c r="AD153" s="59">
        <v>7.0000000000000007E-2</v>
      </c>
      <c r="AE153" s="60">
        <f>((AC153*AD153)/365)*180</f>
        <v>932.63128767123305</v>
      </c>
      <c r="AF153" s="61">
        <v>4949.25</v>
      </c>
      <c r="AG153" s="59">
        <v>7.7499999999999999E-2</v>
      </c>
      <c r="AH153" s="60">
        <f>((AF153*AG153)/365)*180</f>
        <v>189.15626712328768</v>
      </c>
      <c r="AI153" s="62">
        <f>AC153+AF153</f>
        <v>31965.95</v>
      </c>
      <c r="AJ153" s="62">
        <f t="shared" si="6"/>
        <v>1121.7875547945207</v>
      </c>
      <c r="AK153" s="63">
        <f t="shared" si="40"/>
        <v>1121.7875547945207</v>
      </c>
      <c r="AL153" s="64">
        <f t="shared" si="41"/>
        <v>1418.7975547945207</v>
      </c>
      <c r="AP153" s="65">
        <f t="shared" si="8"/>
        <v>1</v>
      </c>
      <c r="AQ153" s="16">
        <f t="shared" si="9"/>
        <v>1</v>
      </c>
      <c r="AR153" s="16">
        <f t="shared" si="10"/>
        <v>1</v>
      </c>
      <c r="AS153" s="66">
        <f t="shared" si="11"/>
        <v>5751.46</v>
      </c>
      <c r="AT153" s="67">
        <f t="shared" si="12"/>
        <v>31965.95</v>
      </c>
      <c r="AU153" s="68">
        <f t="shared" si="13"/>
        <v>11.233333333333333</v>
      </c>
      <c r="AV153" s="19">
        <f t="shared" si="14"/>
        <v>4.6689101648121571E-3</v>
      </c>
      <c r="AW153" s="69">
        <f t="shared" si="15"/>
        <v>0</v>
      </c>
      <c r="AY153" s="65">
        <f t="shared" si="16"/>
        <v>0</v>
      </c>
      <c r="AZ153" s="16">
        <f t="shared" si="17"/>
        <v>1</v>
      </c>
      <c r="BA153" s="16">
        <f t="shared" si="18"/>
        <v>0</v>
      </c>
      <c r="BB153" s="70">
        <f t="shared" si="19"/>
        <v>0</v>
      </c>
      <c r="BC153" s="67">
        <f t="shared" si="20"/>
        <v>0</v>
      </c>
      <c r="BD153" s="71">
        <f t="shared" si="21"/>
        <v>0</v>
      </c>
      <c r="BE153" s="19">
        <f t="shared" si="22"/>
        <v>0</v>
      </c>
      <c r="BF153" s="69">
        <f t="shared" si="23"/>
        <v>0</v>
      </c>
      <c r="BH153" s="72">
        <f t="shared" si="24"/>
        <v>31965.95</v>
      </c>
      <c r="BI153" s="73">
        <f t="shared" si="25"/>
        <v>1</v>
      </c>
      <c r="BJ153" s="74">
        <f t="shared" si="26"/>
        <v>2.8418340849995943E-3</v>
      </c>
      <c r="BK153" s="75">
        <f t="shared" si="27"/>
        <v>0</v>
      </c>
      <c r="BM153" s="76">
        <f t="shared" si="28"/>
        <v>1</v>
      </c>
    </row>
    <row r="154" spans="1:65" ht="12.75" customHeight="1" x14ac:dyDescent="0.2">
      <c r="A154" s="47"/>
      <c r="B154" s="48" t="s">
        <v>328</v>
      </c>
      <c r="C154" s="49">
        <v>32055.200000000001</v>
      </c>
      <c r="D154" s="50">
        <v>13</v>
      </c>
      <c r="E154" s="49">
        <v>26091.67</v>
      </c>
      <c r="F154" s="50" t="s">
        <v>55</v>
      </c>
      <c r="G154" s="51">
        <v>42152</v>
      </c>
      <c r="H154" s="52" t="s">
        <v>56</v>
      </c>
      <c r="I154" s="51">
        <v>42183</v>
      </c>
      <c r="J154" s="52">
        <f t="shared" si="0"/>
        <v>1.0333333333333334</v>
      </c>
      <c r="K154" s="53" t="s">
        <v>329</v>
      </c>
      <c r="L154" s="53">
        <v>72500</v>
      </c>
      <c r="M154" s="54">
        <v>739.41</v>
      </c>
      <c r="N154" s="54">
        <v>743.6</v>
      </c>
      <c r="O154" s="54">
        <v>4965.05</v>
      </c>
      <c r="P154" s="54">
        <f t="shared" si="42"/>
        <v>0</v>
      </c>
      <c r="Q154" s="54">
        <f t="shared" si="34"/>
        <v>0</v>
      </c>
      <c r="R154" s="55">
        <f t="shared" si="3"/>
        <v>0</v>
      </c>
      <c r="S154" s="55">
        <f t="shared" si="4"/>
        <v>1</v>
      </c>
      <c r="T154" s="56"/>
      <c r="V154" s="57">
        <v>132.16</v>
      </c>
      <c r="W154" s="58"/>
      <c r="X154" s="58">
        <v>9.25</v>
      </c>
      <c r="Y154" s="58"/>
      <c r="Z154" s="58">
        <f>69.6+338.88</f>
        <v>408.48</v>
      </c>
      <c r="AA154" s="58">
        <v>884.61</v>
      </c>
      <c r="AB154" s="58">
        <f t="shared" si="37"/>
        <v>1434.5000000000002</v>
      </c>
      <c r="AC154" s="58"/>
      <c r="AD154" s="59">
        <v>2.5000000000000001E-2</v>
      </c>
      <c r="AE154" s="60">
        <f t="shared" ref="AE154:AE157" si="48">((E154*AD154)/365)*180</f>
        <v>321.67812328767121</v>
      </c>
      <c r="AF154" s="61"/>
      <c r="AG154" s="59"/>
      <c r="AH154" s="60">
        <f t="shared" ref="AH154:AH157" si="49">((E154*AG154)/365)*180</f>
        <v>0</v>
      </c>
      <c r="AI154" s="62"/>
      <c r="AJ154" s="62">
        <f t="shared" si="6"/>
        <v>321.67812328767121</v>
      </c>
      <c r="AK154" s="63">
        <f t="shared" si="40"/>
        <v>321.67812328767121</v>
      </c>
      <c r="AL154" s="64">
        <f t="shared" si="41"/>
        <v>739.40812328767129</v>
      </c>
      <c r="AP154" s="65">
        <f t="shared" si="8"/>
        <v>1</v>
      </c>
      <c r="AQ154" s="16">
        <f t="shared" si="9"/>
        <v>1</v>
      </c>
      <c r="AR154" s="16">
        <f t="shared" si="10"/>
        <v>1</v>
      </c>
      <c r="AS154" s="66">
        <f t="shared" si="11"/>
        <v>5708.6500000000005</v>
      </c>
      <c r="AT154" s="67">
        <f t="shared" si="12"/>
        <v>26091.67</v>
      </c>
      <c r="AU154" s="68">
        <f t="shared" si="13"/>
        <v>1.0333333333333334</v>
      </c>
      <c r="AV154" s="19">
        <f t="shared" si="14"/>
        <v>3.8109195340643525E-3</v>
      </c>
      <c r="AW154" s="69">
        <f t="shared" si="15"/>
        <v>0</v>
      </c>
      <c r="AY154" s="65">
        <f t="shared" si="16"/>
        <v>0</v>
      </c>
      <c r="AZ154" s="16">
        <f t="shared" si="17"/>
        <v>1</v>
      </c>
      <c r="BA154" s="16">
        <f t="shared" si="18"/>
        <v>0</v>
      </c>
      <c r="BB154" s="70">
        <f t="shared" si="19"/>
        <v>0</v>
      </c>
      <c r="BC154" s="67">
        <f t="shared" si="20"/>
        <v>0</v>
      </c>
      <c r="BD154" s="71">
        <f t="shared" si="21"/>
        <v>0</v>
      </c>
      <c r="BE154" s="19">
        <f t="shared" si="22"/>
        <v>0</v>
      </c>
      <c r="BF154" s="69">
        <f t="shared" si="23"/>
        <v>0</v>
      </c>
      <c r="BH154" s="72">
        <f t="shared" si="24"/>
        <v>26091.67</v>
      </c>
      <c r="BI154" s="73">
        <f t="shared" si="25"/>
        <v>1</v>
      </c>
      <c r="BJ154" s="74">
        <f t="shared" si="26"/>
        <v>2.3195993593358357E-3</v>
      </c>
      <c r="BK154" s="75">
        <f t="shared" si="27"/>
        <v>0</v>
      </c>
      <c r="BM154" s="76">
        <f t="shared" si="28"/>
        <v>1</v>
      </c>
    </row>
    <row r="155" spans="1:65" ht="12.75" customHeight="1" x14ac:dyDescent="0.2">
      <c r="A155" s="47"/>
      <c r="B155" s="48" t="s">
        <v>330</v>
      </c>
      <c r="C155" s="49">
        <v>17495.72</v>
      </c>
      <c r="D155" s="50">
        <v>13</v>
      </c>
      <c r="E155" s="49">
        <v>14348.15</v>
      </c>
      <c r="F155" s="50" t="s">
        <v>55</v>
      </c>
      <c r="G155" s="51">
        <v>42152</v>
      </c>
      <c r="H155" s="52" t="s">
        <v>56</v>
      </c>
      <c r="I155" s="51">
        <v>42183</v>
      </c>
      <c r="J155" s="52">
        <f t="shared" si="0"/>
        <v>1.0333333333333334</v>
      </c>
      <c r="K155" s="53" t="s">
        <v>331</v>
      </c>
      <c r="L155" s="53">
        <v>32500</v>
      </c>
      <c r="M155" s="54">
        <v>365.33</v>
      </c>
      <c r="N155" s="54">
        <v>3066.52</v>
      </c>
      <c r="O155" s="54">
        <v>2352.64</v>
      </c>
      <c r="P155" s="54">
        <f t="shared" si="42"/>
        <v>0</v>
      </c>
      <c r="Q155" s="54">
        <f t="shared" si="34"/>
        <v>0</v>
      </c>
      <c r="R155" s="55">
        <f t="shared" si="3"/>
        <v>0</v>
      </c>
      <c r="S155" s="55">
        <f t="shared" si="4"/>
        <v>1</v>
      </c>
      <c r="T155" s="56"/>
      <c r="V155" s="57">
        <v>89.25</v>
      </c>
      <c r="W155" s="58"/>
      <c r="X155" s="58">
        <v>6.25</v>
      </c>
      <c r="Y155" s="58"/>
      <c r="Z155" s="58">
        <f>49.35+106.89+61.32</f>
        <v>217.56</v>
      </c>
      <c r="AA155" s="58">
        <v>500.81</v>
      </c>
      <c r="AB155" s="58">
        <f t="shared" si="37"/>
        <v>813.87</v>
      </c>
      <c r="AC155" s="58"/>
      <c r="AD155" s="59">
        <v>0.02</v>
      </c>
      <c r="AE155" s="60">
        <f t="shared" si="48"/>
        <v>141.51599999999999</v>
      </c>
      <c r="AF155" s="61"/>
      <c r="AG155" s="59"/>
      <c r="AH155" s="60">
        <f t="shared" si="49"/>
        <v>0</v>
      </c>
      <c r="AI155" s="62"/>
      <c r="AJ155" s="62">
        <f t="shared" si="6"/>
        <v>141.51599999999999</v>
      </c>
      <c r="AK155" s="63">
        <f t="shared" si="40"/>
        <v>141.51599999999999</v>
      </c>
      <c r="AL155" s="64">
        <f t="shared" si="41"/>
        <v>365.32600000000002</v>
      </c>
      <c r="AP155" s="65">
        <f t="shared" si="8"/>
        <v>1</v>
      </c>
      <c r="AQ155" s="16">
        <f t="shared" si="9"/>
        <v>1</v>
      </c>
      <c r="AR155" s="16">
        <f t="shared" si="10"/>
        <v>1</v>
      </c>
      <c r="AS155" s="66">
        <f t="shared" si="11"/>
        <v>5419.16</v>
      </c>
      <c r="AT155" s="67">
        <f t="shared" si="12"/>
        <v>14348.15</v>
      </c>
      <c r="AU155" s="68">
        <f t="shared" si="13"/>
        <v>1.0333333333333334</v>
      </c>
      <c r="AV155" s="19">
        <f t="shared" si="14"/>
        <v>2.0956744092151037E-3</v>
      </c>
      <c r="AW155" s="69">
        <f t="shared" si="15"/>
        <v>0</v>
      </c>
      <c r="AY155" s="65">
        <f t="shared" si="16"/>
        <v>0</v>
      </c>
      <c r="AZ155" s="16">
        <f t="shared" si="17"/>
        <v>1</v>
      </c>
      <c r="BA155" s="16">
        <f t="shared" si="18"/>
        <v>0</v>
      </c>
      <c r="BB155" s="70">
        <f t="shared" si="19"/>
        <v>0</v>
      </c>
      <c r="BC155" s="67">
        <f t="shared" si="20"/>
        <v>0</v>
      </c>
      <c r="BD155" s="71">
        <f t="shared" si="21"/>
        <v>0</v>
      </c>
      <c r="BE155" s="19">
        <f t="shared" si="22"/>
        <v>0</v>
      </c>
      <c r="BF155" s="69">
        <f t="shared" si="23"/>
        <v>0</v>
      </c>
      <c r="BH155" s="72">
        <f t="shared" si="24"/>
        <v>14348.15</v>
      </c>
      <c r="BI155" s="73">
        <f t="shared" si="25"/>
        <v>1</v>
      </c>
      <c r="BJ155" s="74">
        <f t="shared" si="26"/>
        <v>1.2755779736465498E-3</v>
      </c>
      <c r="BK155" s="75">
        <f t="shared" si="27"/>
        <v>0</v>
      </c>
      <c r="BM155" s="76">
        <f t="shared" si="28"/>
        <v>1</v>
      </c>
    </row>
    <row r="156" spans="1:65" ht="12.75" customHeight="1" x14ac:dyDescent="0.2">
      <c r="A156" s="47"/>
      <c r="B156" s="48" t="s">
        <v>332</v>
      </c>
      <c r="C156" s="49">
        <v>34650</v>
      </c>
      <c r="D156" s="50">
        <v>13</v>
      </c>
      <c r="E156" s="49">
        <v>33312.06</v>
      </c>
      <c r="F156" s="50" t="s">
        <v>55</v>
      </c>
      <c r="G156" s="51">
        <v>42152</v>
      </c>
      <c r="H156" s="52" t="s">
        <v>56</v>
      </c>
      <c r="I156" s="51">
        <v>42518</v>
      </c>
      <c r="J156" s="52">
        <f t="shared" si="0"/>
        <v>12.2</v>
      </c>
      <c r="K156" s="53" t="s">
        <v>180</v>
      </c>
      <c r="L156" s="53">
        <v>35000</v>
      </c>
      <c r="M156" s="54">
        <v>198.23999999999998</v>
      </c>
      <c r="N156" s="54">
        <v>9066.6200000000008</v>
      </c>
      <c r="O156" s="54">
        <v>788.66</v>
      </c>
      <c r="P156" s="54">
        <f t="shared" si="42"/>
        <v>0</v>
      </c>
      <c r="Q156" s="54">
        <f t="shared" si="34"/>
        <v>8365.5799999999981</v>
      </c>
      <c r="R156" s="55">
        <f t="shared" si="3"/>
        <v>0.25112766967878897</v>
      </c>
      <c r="S156" s="55">
        <f t="shared" si="4"/>
        <v>0.74887233032121103</v>
      </c>
      <c r="T156" s="56"/>
      <c r="V156" s="57">
        <v>112</v>
      </c>
      <c r="W156" s="58"/>
      <c r="X156" s="58">
        <v>7.84</v>
      </c>
      <c r="Y156" s="58"/>
      <c r="Z156" s="58">
        <f>65.24+56+69.16</f>
        <v>190.39999999999998</v>
      </c>
      <c r="AA156" s="58"/>
      <c r="AB156" s="58">
        <f t="shared" si="37"/>
        <v>310.24</v>
      </c>
      <c r="AC156" s="58"/>
      <c r="AD156" s="59">
        <v>0</v>
      </c>
      <c r="AE156" s="60">
        <f t="shared" si="48"/>
        <v>0</v>
      </c>
      <c r="AF156" s="61"/>
      <c r="AG156" s="59"/>
      <c r="AH156" s="60">
        <f t="shared" si="49"/>
        <v>0</v>
      </c>
      <c r="AI156" s="62"/>
      <c r="AJ156" s="62">
        <f t="shared" si="6"/>
        <v>0</v>
      </c>
      <c r="AK156" s="63">
        <f t="shared" si="40"/>
        <v>0</v>
      </c>
      <c r="AL156" s="64">
        <f t="shared" si="41"/>
        <v>198.23999999999998</v>
      </c>
      <c r="AP156" s="65">
        <f t="shared" si="8"/>
        <v>1</v>
      </c>
      <c r="AQ156" s="16">
        <f t="shared" si="9"/>
        <v>1</v>
      </c>
      <c r="AR156" s="16">
        <f t="shared" si="10"/>
        <v>1</v>
      </c>
      <c r="AS156" s="66">
        <f t="shared" si="11"/>
        <v>9855.2800000000007</v>
      </c>
      <c r="AT156" s="67">
        <f t="shared" si="12"/>
        <v>33312.06</v>
      </c>
      <c r="AU156" s="68">
        <f t="shared" si="13"/>
        <v>12.2</v>
      </c>
      <c r="AV156" s="19">
        <f t="shared" si="14"/>
        <v>4.8655214546989038E-3</v>
      </c>
      <c r="AW156" s="69">
        <f t="shared" si="15"/>
        <v>1.221867064690687E-3</v>
      </c>
      <c r="AY156" s="65">
        <f t="shared" si="16"/>
        <v>0</v>
      </c>
      <c r="AZ156" s="16">
        <f t="shared" si="17"/>
        <v>1</v>
      </c>
      <c r="BA156" s="16">
        <f t="shared" si="18"/>
        <v>0</v>
      </c>
      <c r="BB156" s="70">
        <f t="shared" si="19"/>
        <v>0</v>
      </c>
      <c r="BC156" s="67">
        <f t="shared" si="20"/>
        <v>0</v>
      </c>
      <c r="BD156" s="71">
        <f t="shared" si="21"/>
        <v>0</v>
      </c>
      <c r="BE156" s="19">
        <f t="shared" si="22"/>
        <v>0</v>
      </c>
      <c r="BF156" s="69">
        <f t="shared" si="23"/>
        <v>0</v>
      </c>
      <c r="BH156" s="72">
        <f t="shared" si="24"/>
        <v>33312.06</v>
      </c>
      <c r="BI156" s="73">
        <f t="shared" si="25"/>
        <v>1</v>
      </c>
      <c r="BJ156" s="74">
        <f t="shared" si="26"/>
        <v>2.9615058382294777E-3</v>
      </c>
      <c r="BK156" s="75">
        <f t="shared" si="27"/>
        <v>7.4371605989469733E-4</v>
      </c>
      <c r="BM156" s="76">
        <f t="shared" si="28"/>
        <v>1</v>
      </c>
    </row>
    <row r="157" spans="1:65" ht="12.75" customHeight="1" x14ac:dyDescent="0.2">
      <c r="A157" s="47"/>
      <c r="B157" s="48" t="s">
        <v>333</v>
      </c>
      <c r="C157" s="49">
        <v>34580.94</v>
      </c>
      <c r="D157" s="50">
        <v>13</v>
      </c>
      <c r="E157" s="49">
        <v>33742.620000000003</v>
      </c>
      <c r="F157" s="50" t="s">
        <v>55</v>
      </c>
      <c r="G157" s="51">
        <v>42213</v>
      </c>
      <c r="H157" s="52" t="s">
        <v>56</v>
      </c>
      <c r="I157" s="51">
        <v>42275</v>
      </c>
      <c r="J157" s="52">
        <f t="shared" si="0"/>
        <v>2.0666666666666669</v>
      </c>
      <c r="K157" s="53" t="s">
        <v>334</v>
      </c>
      <c r="L157" s="53">
        <v>42000</v>
      </c>
      <c r="M157" s="54">
        <v>342.47</v>
      </c>
      <c r="N157" s="54">
        <v>7524.69</v>
      </c>
      <c r="O157" s="54">
        <v>2111.8200000000002</v>
      </c>
      <c r="P157" s="54">
        <f t="shared" si="42"/>
        <v>0</v>
      </c>
      <c r="Q157" s="54">
        <f t="shared" si="34"/>
        <v>1721.6000000000026</v>
      </c>
      <c r="R157" s="55">
        <f t="shared" si="3"/>
        <v>5.1021527077624751E-2</v>
      </c>
      <c r="S157" s="55">
        <f t="shared" si="4"/>
        <v>0.94897847292237525</v>
      </c>
      <c r="T157" s="56"/>
      <c r="V157" s="57">
        <v>184</v>
      </c>
      <c r="W157" s="58"/>
      <c r="X157" s="58">
        <v>12.88</v>
      </c>
      <c r="Y157" s="58"/>
      <c r="Z157" s="58">
        <f>106.95+108.79+113.85</f>
        <v>329.59000000000003</v>
      </c>
      <c r="AA157" s="58">
        <v>0</v>
      </c>
      <c r="AB157" s="58">
        <f t="shared" si="37"/>
        <v>526.47</v>
      </c>
      <c r="AC157" s="58"/>
      <c r="AD157" s="59">
        <v>0</v>
      </c>
      <c r="AE157" s="60">
        <f t="shared" si="48"/>
        <v>0</v>
      </c>
      <c r="AF157" s="61"/>
      <c r="AG157" s="59"/>
      <c r="AH157" s="60">
        <f t="shared" si="49"/>
        <v>0</v>
      </c>
      <c r="AI157" s="62"/>
      <c r="AJ157" s="62">
        <f t="shared" si="6"/>
        <v>0</v>
      </c>
      <c r="AK157" s="63">
        <f t="shared" si="40"/>
        <v>0</v>
      </c>
      <c r="AL157" s="64">
        <f t="shared" si="41"/>
        <v>342.47</v>
      </c>
      <c r="AP157" s="65">
        <f t="shared" si="8"/>
        <v>1</v>
      </c>
      <c r="AQ157" s="16">
        <f t="shared" si="9"/>
        <v>1</v>
      </c>
      <c r="AR157" s="16">
        <f t="shared" si="10"/>
        <v>1</v>
      </c>
      <c r="AS157" s="66">
        <f t="shared" si="11"/>
        <v>9636.51</v>
      </c>
      <c r="AT157" s="67">
        <f t="shared" si="12"/>
        <v>33742.620000000003</v>
      </c>
      <c r="AU157" s="68">
        <f t="shared" si="13"/>
        <v>2.0666666666666669</v>
      </c>
      <c r="AV157" s="19">
        <f t="shared" si="14"/>
        <v>4.9284085567735036E-3</v>
      </c>
      <c r="AW157" s="69">
        <f t="shared" si="15"/>
        <v>2.5145493062901685E-4</v>
      </c>
      <c r="AY157" s="65">
        <f t="shared" si="16"/>
        <v>0</v>
      </c>
      <c r="AZ157" s="16">
        <f t="shared" si="17"/>
        <v>1</v>
      </c>
      <c r="BA157" s="16">
        <f t="shared" si="18"/>
        <v>0</v>
      </c>
      <c r="BB157" s="70">
        <f t="shared" si="19"/>
        <v>0</v>
      </c>
      <c r="BC157" s="67">
        <f t="shared" si="20"/>
        <v>0</v>
      </c>
      <c r="BD157" s="71">
        <f t="shared" si="21"/>
        <v>0</v>
      </c>
      <c r="BE157" s="19">
        <f t="shared" si="22"/>
        <v>0</v>
      </c>
      <c r="BF157" s="69">
        <f t="shared" si="23"/>
        <v>0</v>
      </c>
      <c r="BH157" s="72">
        <f t="shared" si="24"/>
        <v>33742.620000000003</v>
      </c>
      <c r="BI157" s="73">
        <f t="shared" si="25"/>
        <v>1</v>
      </c>
      <c r="BJ157" s="74">
        <f t="shared" si="26"/>
        <v>2.9997834456097507E-3</v>
      </c>
      <c r="BK157" s="75">
        <f t="shared" si="27"/>
        <v>1.5305353229718837E-4</v>
      </c>
      <c r="BM157" s="76">
        <f t="shared" si="28"/>
        <v>1</v>
      </c>
    </row>
    <row r="158" spans="1:65" ht="12.75" customHeight="1" x14ac:dyDescent="0.2">
      <c r="A158" s="47"/>
      <c r="B158" s="48" t="s">
        <v>335</v>
      </c>
      <c r="C158" s="49">
        <v>14717.67</v>
      </c>
      <c r="D158" s="50">
        <v>12</v>
      </c>
      <c r="E158" s="49">
        <v>13739.84</v>
      </c>
      <c r="F158" s="50" t="s">
        <v>55</v>
      </c>
      <c r="G158" s="51">
        <v>42213</v>
      </c>
      <c r="H158" s="52" t="s">
        <v>56</v>
      </c>
      <c r="I158" s="51">
        <v>42336</v>
      </c>
      <c r="J158" s="52">
        <f t="shared" si="0"/>
        <v>4.0999999999999996</v>
      </c>
      <c r="K158" s="53" t="s">
        <v>180</v>
      </c>
      <c r="L158" s="53">
        <v>32500</v>
      </c>
      <c r="M158" s="54">
        <v>686.39</v>
      </c>
      <c r="N158" s="54">
        <v>1884.22</v>
      </c>
      <c r="O158" s="54">
        <v>3994.1</v>
      </c>
      <c r="P158" s="54">
        <f t="shared" si="42"/>
        <v>0</v>
      </c>
      <c r="Q158" s="54">
        <f t="shared" si="34"/>
        <v>0</v>
      </c>
      <c r="R158" s="55">
        <f t="shared" si="3"/>
        <v>0</v>
      </c>
      <c r="S158" s="55">
        <f t="shared" si="4"/>
        <v>1</v>
      </c>
      <c r="T158" s="56"/>
      <c r="V158" s="57">
        <v>59.5</v>
      </c>
      <c r="W158" s="58"/>
      <c r="X158" s="58">
        <v>4.17</v>
      </c>
      <c r="Y158" s="58"/>
      <c r="Z158" s="58">
        <f>44.66+52.08+35+15.4+15.68</f>
        <v>162.82000000000002</v>
      </c>
      <c r="AA158" s="58">
        <f>438.88+870.04</f>
        <v>1308.92</v>
      </c>
      <c r="AB158" s="58">
        <f t="shared" si="37"/>
        <v>1535.41</v>
      </c>
      <c r="AC158" s="58">
        <v>9096.59</v>
      </c>
      <c r="AD158" s="59">
        <v>7.7499999999999999E-2</v>
      </c>
      <c r="AE158" s="60">
        <f t="shared" ref="AE158:AE165" si="50">((AC158*AD158)/365)*180</f>
        <v>347.66419315068492</v>
      </c>
      <c r="AF158" s="61">
        <v>4643.25</v>
      </c>
      <c r="AG158" s="59">
        <v>7.4999999999999997E-2</v>
      </c>
      <c r="AH158" s="60">
        <f t="shared" ref="AH158:AH165" si="51">((AF158*AG158)/365)*180</f>
        <v>171.73664383561641</v>
      </c>
      <c r="AI158" s="62">
        <f t="shared" ref="AI158:AI165" si="52">AC158+AF158</f>
        <v>13739.84</v>
      </c>
      <c r="AJ158" s="62">
        <f t="shared" si="6"/>
        <v>519.40083698630133</v>
      </c>
      <c r="AK158" s="63">
        <f t="shared" si="40"/>
        <v>519.40083698630133</v>
      </c>
      <c r="AL158" s="64">
        <f t="shared" si="41"/>
        <v>686.39083698630134</v>
      </c>
      <c r="AP158" s="65">
        <f t="shared" si="8"/>
        <v>1</v>
      </c>
      <c r="AQ158" s="16">
        <f t="shared" si="9"/>
        <v>1</v>
      </c>
      <c r="AR158" s="16">
        <f t="shared" si="10"/>
        <v>1</v>
      </c>
      <c r="AS158" s="66">
        <f t="shared" si="11"/>
        <v>5878.32</v>
      </c>
      <c r="AT158" s="67">
        <f t="shared" si="12"/>
        <v>13739.84</v>
      </c>
      <c r="AU158" s="68">
        <f t="shared" si="13"/>
        <v>4.0999999999999996</v>
      </c>
      <c r="AV158" s="19">
        <f t="shared" si="14"/>
        <v>2.0068253450591226E-3</v>
      </c>
      <c r="AW158" s="69">
        <f t="shared" si="15"/>
        <v>0</v>
      </c>
      <c r="AY158" s="65">
        <f t="shared" si="16"/>
        <v>0</v>
      </c>
      <c r="AZ158" s="16">
        <f t="shared" si="17"/>
        <v>1</v>
      </c>
      <c r="BA158" s="16">
        <f t="shared" si="18"/>
        <v>0</v>
      </c>
      <c r="BB158" s="70">
        <f t="shared" si="19"/>
        <v>0</v>
      </c>
      <c r="BC158" s="67">
        <f t="shared" si="20"/>
        <v>0</v>
      </c>
      <c r="BD158" s="71">
        <f t="shared" si="21"/>
        <v>0</v>
      </c>
      <c r="BE158" s="19">
        <f t="shared" si="22"/>
        <v>0</v>
      </c>
      <c r="BF158" s="69">
        <f t="shared" si="23"/>
        <v>0</v>
      </c>
      <c r="BH158" s="72">
        <f t="shared" si="24"/>
        <v>13739.84</v>
      </c>
      <c r="BI158" s="73">
        <f t="shared" si="25"/>
        <v>1</v>
      </c>
      <c r="BJ158" s="74">
        <f t="shared" si="26"/>
        <v>1.2214980513465367E-3</v>
      </c>
      <c r="BK158" s="75">
        <f t="shared" si="27"/>
        <v>0</v>
      </c>
      <c r="BM158" s="76">
        <f t="shared" si="28"/>
        <v>1</v>
      </c>
    </row>
    <row r="159" spans="1:65" ht="12.75" customHeight="1" x14ac:dyDescent="0.2">
      <c r="A159" s="47"/>
      <c r="B159" s="48" t="s">
        <v>336</v>
      </c>
      <c r="C159" s="49">
        <v>14625</v>
      </c>
      <c r="D159" s="50">
        <v>13</v>
      </c>
      <c r="E159" s="49">
        <v>13740.59</v>
      </c>
      <c r="F159" s="50" t="s">
        <v>55</v>
      </c>
      <c r="G159" s="51">
        <v>42244</v>
      </c>
      <c r="H159" s="52" t="s">
        <v>56</v>
      </c>
      <c r="I159" s="51">
        <v>42518</v>
      </c>
      <c r="J159" s="52">
        <f t="shared" si="0"/>
        <v>9.1333333333333329</v>
      </c>
      <c r="K159" s="53" t="s">
        <v>180</v>
      </c>
      <c r="L159" s="53">
        <v>45000</v>
      </c>
      <c r="M159" s="54">
        <v>912.73</v>
      </c>
      <c r="N159" s="54">
        <v>4262.66</v>
      </c>
      <c r="O159" s="54">
        <v>3333.5</v>
      </c>
      <c r="P159" s="54">
        <f t="shared" si="42"/>
        <v>0</v>
      </c>
      <c r="Q159" s="54">
        <f t="shared" si="34"/>
        <v>0</v>
      </c>
      <c r="R159" s="55">
        <f t="shared" si="3"/>
        <v>0</v>
      </c>
      <c r="S159" s="55">
        <f t="shared" si="4"/>
        <v>1</v>
      </c>
      <c r="T159" s="56"/>
      <c r="V159" s="57">
        <v>106.25</v>
      </c>
      <c r="W159" s="58">
        <f>4.01+13.43</f>
        <v>17.439999999999998</v>
      </c>
      <c r="X159" s="58">
        <f>0.28+8.38</f>
        <v>8.66</v>
      </c>
      <c r="Y159" s="58"/>
      <c r="Z159" s="58">
        <f>72.75+190.25+72.75+44+19.5</f>
        <v>399.25</v>
      </c>
      <c r="AA159" s="58">
        <f>447.76+1551.82</f>
        <v>1999.58</v>
      </c>
      <c r="AB159" s="58">
        <f t="shared" si="37"/>
        <v>2531.1799999999998</v>
      </c>
      <c r="AC159" s="58">
        <v>10586.83</v>
      </c>
      <c r="AD159" s="59">
        <v>7.2499999999999995E-2</v>
      </c>
      <c r="AE159" s="60">
        <f t="shared" si="50"/>
        <v>378.5154287671233</v>
      </c>
      <c r="AF159" s="61">
        <v>3153.76</v>
      </c>
      <c r="AG159" s="59">
        <v>7.0000000000000007E-2</v>
      </c>
      <c r="AH159" s="60">
        <f t="shared" si="51"/>
        <v>108.86952328767124</v>
      </c>
      <c r="AI159" s="62">
        <f t="shared" si="52"/>
        <v>13740.59</v>
      </c>
      <c r="AJ159" s="62">
        <f t="shared" si="6"/>
        <v>487.38495205479455</v>
      </c>
      <c r="AK159" s="63">
        <f t="shared" si="40"/>
        <v>487.38495205479455</v>
      </c>
      <c r="AL159" s="64">
        <f t="shared" si="41"/>
        <v>912.73495205479458</v>
      </c>
      <c r="AP159" s="65">
        <f t="shared" si="8"/>
        <v>1</v>
      </c>
      <c r="AQ159" s="16">
        <f t="shared" si="9"/>
        <v>1</v>
      </c>
      <c r="AR159" s="16">
        <f t="shared" si="10"/>
        <v>1</v>
      </c>
      <c r="AS159" s="66">
        <f t="shared" si="11"/>
        <v>7596.16</v>
      </c>
      <c r="AT159" s="67">
        <f t="shared" si="12"/>
        <v>13740.59</v>
      </c>
      <c r="AU159" s="68">
        <f t="shared" si="13"/>
        <v>9.1333333333333329</v>
      </c>
      <c r="AV159" s="19">
        <f t="shared" si="14"/>
        <v>2.0069348892029258E-3</v>
      </c>
      <c r="AW159" s="69">
        <f t="shared" si="15"/>
        <v>0</v>
      </c>
      <c r="AY159" s="65">
        <f t="shared" si="16"/>
        <v>0</v>
      </c>
      <c r="AZ159" s="16">
        <f t="shared" si="17"/>
        <v>1</v>
      </c>
      <c r="BA159" s="16">
        <f t="shared" si="18"/>
        <v>0</v>
      </c>
      <c r="BB159" s="70">
        <f t="shared" si="19"/>
        <v>0</v>
      </c>
      <c r="BC159" s="67">
        <f t="shared" si="20"/>
        <v>0</v>
      </c>
      <c r="BD159" s="71">
        <f t="shared" si="21"/>
        <v>0</v>
      </c>
      <c r="BE159" s="19">
        <f t="shared" si="22"/>
        <v>0</v>
      </c>
      <c r="BF159" s="69">
        <f t="shared" si="23"/>
        <v>0</v>
      </c>
      <c r="BH159" s="72">
        <f t="shared" si="24"/>
        <v>13740.59</v>
      </c>
      <c r="BI159" s="73">
        <f t="shared" si="25"/>
        <v>1</v>
      </c>
      <c r="BJ159" s="74">
        <f t="shared" si="26"/>
        <v>1.2215647277807973E-3</v>
      </c>
      <c r="BK159" s="75">
        <f t="shared" si="27"/>
        <v>0</v>
      </c>
      <c r="BM159" s="76">
        <f t="shared" si="28"/>
        <v>1</v>
      </c>
    </row>
    <row r="160" spans="1:65" ht="12.75" customHeight="1" x14ac:dyDescent="0.2">
      <c r="A160" s="47"/>
      <c r="B160" s="48" t="s">
        <v>337</v>
      </c>
      <c r="C160" s="49">
        <v>47644.15</v>
      </c>
      <c r="D160" s="50">
        <v>13</v>
      </c>
      <c r="E160" s="49">
        <v>44640.12</v>
      </c>
      <c r="F160" s="50" t="s">
        <v>55</v>
      </c>
      <c r="G160" s="51">
        <v>42336</v>
      </c>
      <c r="H160" s="52" t="s">
        <v>56</v>
      </c>
      <c r="I160" s="51">
        <v>42457</v>
      </c>
      <c r="J160" s="52">
        <f t="shared" si="0"/>
        <v>4.0333333333333332</v>
      </c>
      <c r="K160" s="53" t="s">
        <v>338</v>
      </c>
      <c r="L160" s="53">
        <v>65000</v>
      </c>
      <c r="M160" s="54">
        <v>2715.99</v>
      </c>
      <c r="N160" s="54">
        <v>13092.25</v>
      </c>
      <c r="O160" s="54">
        <v>1144.6400000000001</v>
      </c>
      <c r="P160" s="54">
        <f t="shared" si="42"/>
        <v>0</v>
      </c>
      <c r="Q160" s="54">
        <f t="shared" si="34"/>
        <v>0</v>
      </c>
      <c r="R160" s="55">
        <f t="shared" si="3"/>
        <v>0</v>
      </c>
      <c r="S160" s="55">
        <f t="shared" si="4"/>
        <v>1</v>
      </c>
      <c r="T160" s="56"/>
      <c r="V160" s="57"/>
      <c r="W160" s="58">
        <v>28.58</v>
      </c>
      <c r="X160" s="58">
        <v>2</v>
      </c>
      <c r="Y160" s="58">
        <v>450.02</v>
      </c>
      <c r="Z160" s="58">
        <f>143.36+385.92</f>
        <v>529.28</v>
      </c>
      <c r="AA160" s="58">
        <v>4073.48</v>
      </c>
      <c r="AB160" s="58">
        <f t="shared" si="37"/>
        <v>5083.3600000000006</v>
      </c>
      <c r="AC160" s="58">
        <v>10911.96</v>
      </c>
      <c r="AD160" s="59">
        <v>7.7499999999999999E-2</v>
      </c>
      <c r="AE160" s="60">
        <f t="shared" si="50"/>
        <v>417.04614246575335</v>
      </c>
      <c r="AF160" s="61">
        <v>33728.160000000003</v>
      </c>
      <c r="AG160" s="59">
        <v>7.7499999999999999E-2</v>
      </c>
      <c r="AH160" s="60">
        <f t="shared" si="51"/>
        <v>1289.0625534246576</v>
      </c>
      <c r="AI160" s="62">
        <f t="shared" si="52"/>
        <v>44640.12</v>
      </c>
      <c r="AJ160" s="62">
        <f t="shared" si="6"/>
        <v>1706.1086958904109</v>
      </c>
      <c r="AK160" s="63">
        <f t="shared" si="40"/>
        <v>1706.1086958904109</v>
      </c>
      <c r="AL160" s="64">
        <f t="shared" si="41"/>
        <v>2715.9886958904108</v>
      </c>
      <c r="AP160" s="65">
        <f t="shared" si="8"/>
        <v>1</v>
      </c>
      <c r="AQ160" s="16">
        <f t="shared" si="9"/>
        <v>1</v>
      </c>
      <c r="AR160" s="16">
        <f t="shared" si="10"/>
        <v>1</v>
      </c>
      <c r="AS160" s="66">
        <f t="shared" si="11"/>
        <v>14236.89</v>
      </c>
      <c r="AT160" s="67">
        <f t="shared" si="12"/>
        <v>44640.12</v>
      </c>
      <c r="AU160" s="68">
        <f t="shared" si="13"/>
        <v>4.0333333333333332</v>
      </c>
      <c r="AV160" s="19">
        <f t="shared" si="14"/>
        <v>6.5200849662354621E-3</v>
      </c>
      <c r="AW160" s="69">
        <f t="shared" si="15"/>
        <v>0</v>
      </c>
      <c r="AY160" s="65">
        <f t="shared" si="16"/>
        <v>0</v>
      </c>
      <c r="AZ160" s="16">
        <f t="shared" si="17"/>
        <v>1</v>
      </c>
      <c r="BA160" s="16">
        <f t="shared" si="18"/>
        <v>0</v>
      </c>
      <c r="BB160" s="70">
        <f t="shared" si="19"/>
        <v>0</v>
      </c>
      <c r="BC160" s="67">
        <f t="shared" si="20"/>
        <v>0</v>
      </c>
      <c r="BD160" s="71">
        <f t="shared" si="21"/>
        <v>0</v>
      </c>
      <c r="BE160" s="19">
        <f t="shared" si="22"/>
        <v>0</v>
      </c>
      <c r="BF160" s="69">
        <f t="shared" si="23"/>
        <v>0</v>
      </c>
      <c r="BH160" s="72">
        <f t="shared" si="24"/>
        <v>44640.12</v>
      </c>
      <c r="BI160" s="73">
        <f t="shared" si="25"/>
        <v>1</v>
      </c>
      <c r="BJ160" s="74">
        <f t="shared" si="26"/>
        <v>3.9685920354149366E-3</v>
      </c>
      <c r="BK160" s="75">
        <f t="shared" si="27"/>
        <v>0</v>
      </c>
      <c r="BM160" s="76">
        <f t="shared" si="28"/>
        <v>1</v>
      </c>
    </row>
    <row r="161" spans="1:65" ht="12.75" customHeight="1" x14ac:dyDescent="0.2">
      <c r="A161" s="47"/>
      <c r="B161" s="48" t="s">
        <v>339</v>
      </c>
      <c r="C161" s="49">
        <v>19350</v>
      </c>
      <c r="D161" s="50">
        <v>13</v>
      </c>
      <c r="E161" s="49">
        <v>17488.97</v>
      </c>
      <c r="F161" s="50" t="s">
        <v>55</v>
      </c>
      <c r="G161" s="51">
        <v>42336</v>
      </c>
      <c r="H161" s="52" t="s">
        <v>56</v>
      </c>
      <c r="I161" s="51">
        <v>42457</v>
      </c>
      <c r="J161" s="52">
        <f t="shared" si="0"/>
        <v>4.0333333333333332</v>
      </c>
      <c r="K161" s="53" t="s">
        <v>340</v>
      </c>
      <c r="L161" s="53">
        <v>33000</v>
      </c>
      <c r="M161" s="54">
        <v>892.33</v>
      </c>
      <c r="N161" s="54">
        <v>7590.48</v>
      </c>
      <c r="O161" s="54">
        <v>2610.85</v>
      </c>
      <c r="P161" s="54">
        <f t="shared" si="42"/>
        <v>0</v>
      </c>
      <c r="Q161" s="54">
        <f t="shared" si="34"/>
        <v>0</v>
      </c>
      <c r="R161" s="55">
        <f t="shared" si="3"/>
        <v>0</v>
      </c>
      <c r="S161" s="55">
        <f t="shared" si="4"/>
        <v>1</v>
      </c>
      <c r="T161" s="56"/>
      <c r="V161" s="57">
        <v>76.5</v>
      </c>
      <c r="W161" s="58"/>
      <c r="X161" s="58">
        <v>5.36</v>
      </c>
      <c r="Y161" s="58">
        <v>93.09</v>
      </c>
      <c r="Z161" s="58">
        <f>51.48+70.02+40.14+20.7+27.54</f>
        <v>209.87999999999997</v>
      </c>
      <c r="AA161" s="58">
        <f>917.54+1129.92</f>
        <v>2047.46</v>
      </c>
      <c r="AB161" s="58">
        <f t="shared" si="37"/>
        <v>2432.2900000000004</v>
      </c>
      <c r="AC161" s="58">
        <v>11410.81</v>
      </c>
      <c r="AD161" s="59">
        <v>6.25E-2</v>
      </c>
      <c r="AE161" s="60">
        <f t="shared" si="50"/>
        <v>351.70304794520547</v>
      </c>
      <c r="AF161" s="61">
        <v>6078.16</v>
      </c>
      <c r="AG161" s="59">
        <v>7.7499999999999999E-2</v>
      </c>
      <c r="AH161" s="60">
        <f t="shared" si="51"/>
        <v>232.30227945205476</v>
      </c>
      <c r="AI161" s="62">
        <f t="shared" si="52"/>
        <v>17488.97</v>
      </c>
      <c r="AJ161" s="62">
        <f t="shared" si="6"/>
        <v>584.0053273972602</v>
      </c>
      <c r="AK161" s="63">
        <f t="shared" si="40"/>
        <v>584.0053273972602</v>
      </c>
      <c r="AL161" s="64">
        <f t="shared" si="41"/>
        <v>892.33532739726024</v>
      </c>
      <c r="AP161" s="65">
        <f t="shared" si="8"/>
        <v>1</v>
      </c>
      <c r="AQ161" s="16">
        <f t="shared" si="9"/>
        <v>1</v>
      </c>
      <c r="AR161" s="16">
        <f t="shared" si="10"/>
        <v>1</v>
      </c>
      <c r="AS161" s="66">
        <f t="shared" si="11"/>
        <v>10201.33</v>
      </c>
      <c r="AT161" s="67">
        <f t="shared" si="12"/>
        <v>17488.97</v>
      </c>
      <c r="AU161" s="68">
        <f t="shared" si="13"/>
        <v>4.0333333333333332</v>
      </c>
      <c r="AV161" s="19">
        <f t="shared" si="14"/>
        <v>2.5544189928688142E-3</v>
      </c>
      <c r="AW161" s="69">
        <f t="shared" si="15"/>
        <v>0</v>
      </c>
      <c r="AY161" s="65">
        <f t="shared" si="16"/>
        <v>0</v>
      </c>
      <c r="AZ161" s="16">
        <f t="shared" si="17"/>
        <v>1</v>
      </c>
      <c r="BA161" s="16">
        <f t="shared" si="18"/>
        <v>0</v>
      </c>
      <c r="BB161" s="70">
        <f t="shared" si="19"/>
        <v>0</v>
      </c>
      <c r="BC161" s="67">
        <f t="shared" si="20"/>
        <v>0</v>
      </c>
      <c r="BD161" s="71">
        <f t="shared" si="21"/>
        <v>0</v>
      </c>
      <c r="BE161" s="19">
        <f t="shared" si="22"/>
        <v>0</v>
      </c>
      <c r="BF161" s="69">
        <f t="shared" si="23"/>
        <v>0</v>
      </c>
      <c r="BH161" s="72">
        <f t="shared" si="24"/>
        <v>17488.97</v>
      </c>
      <c r="BI161" s="73">
        <f t="shared" si="25"/>
        <v>1</v>
      </c>
      <c r="BJ161" s="74">
        <f t="shared" si="26"/>
        <v>1.5548028779853362E-3</v>
      </c>
      <c r="BK161" s="75">
        <f t="shared" si="27"/>
        <v>0</v>
      </c>
      <c r="BM161" s="76">
        <f t="shared" si="28"/>
        <v>1</v>
      </c>
    </row>
    <row r="162" spans="1:65" ht="12.75" customHeight="1" x14ac:dyDescent="0.2">
      <c r="A162" s="47"/>
      <c r="B162" s="48" t="s">
        <v>341</v>
      </c>
      <c r="C162" s="49">
        <v>20825</v>
      </c>
      <c r="D162" s="50">
        <v>6</v>
      </c>
      <c r="E162" s="49">
        <v>18437.509999999998</v>
      </c>
      <c r="F162" s="50" t="s">
        <v>55</v>
      </c>
      <c r="G162" s="51">
        <v>42366</v>
      </c>
      <c r="H162" s="52" t="s">
        <v>56</v>
      </c>
      <c r="I162" s="51">
        <v>42457</v>
      </c>
      <c r="J162" s="52">
        <f t="shared" si="0"/>
        <v>3.0333333333333332</v>
      </c>
      <c r="K162" s="53" t="s">
        <v>342</v>
      </c>
      <c r="L162" s="53">
        <v>38500</v>
      </c>
      <c r="M162" s="54">
        <v>1166.1500000000001</v>
      </c>
      <c r="N162" s="54">
        <v>6655.8700000000008</v>
      </c>
      <c r="O162" s="54">
        <v>2575</v>
      </c>
      <c r="P162" s="54">
        <f t="shared" si="42"/>
        <v>0</v>
      </c>
      <c r="Q162" s="54">
        <f t="shared" si="34"/>
        <v>0</v>
      </c>
      <c r="R162" s="55">
        <f t="shared" si="3"/>
        <v>0</v>
      </c>
      <c r="S162" s="55">
        <f t="shared" si="4"/>
        <v>1</v>
      </c>
      <c r="T162" s="56"/>
      <c r="V162" s="57">
        <v>85</v>
      </c>
      <c r="W162" s="58"/>
      <c r="X162" s="58">
        <v>5.95</v>
      </c>
      <c r="Y162" s="58">
        <v>124.73</v>
      </c>
      <c r="Z162" s="58">
        <f>65.2+166.4+46.4+83.6+37.4</f>
        <v>399</v>
      </c>
      <c r="AA162" s="58">
        <f>988.85+1483.09</f>
        <v>2471.94</v>
      </c>
      <c r="AB162" s="58">
        <f t="shared" si="37"/>
        <v>3086.62</v>
      </c>
      <c r="AC162" s="58">
        <v>11106.08</v>
      </c>
      <c r="AD162" s="59">
        <v>7.0000000000000007E-2</v>
      </c>
      <c r="AE162" s="60">
        <f t="shared" si="50"/>
        <v>383.38796712328769</v>
      </c>
      <c r="AF162" s="61">
        <v>7331.43</v>
      </c>
      <c r="AG162" s="59">
        <v>7.0000000000000007E-2</v>
      </c>
      <c r="AH162" s="60">
        <f t="shared" si="51"/>
        <v>253.08498082191781</v>
      </c>
      <c r="AI162" s="62">
        <f t="shared" si="52"/>
        <v>18437.510000000002</v>
      </c>
      <c r="AJ162" s="62">
        <f t="shared" si="6"/>
        <v>636.47294794520553</v>
      </c>
      <c r="AK162" s="63">
        <f t="shared" si="40"/>
        <v>636.47294794520553</v>
      </c>
      <c r="AL162" s="64">
        <f t="shared" si="41"/>
        <v>1166.1529479452056</v>
      </c>
      <c r="AP162" s="65">
        <f t="shared" si="8"/>
        <v>1</v>
      </c>
      <c r="AQ162" s="16">
        <f t="shared" si="9"/>
        <v>1</v>
      </c>
      <c r="AR162" s="16">
        <f t="shared" si="10"/>
        <v>1</v>
      </c>
      <c r="AS162" s="66">
        <f t="shared" si="11"/>
        <v>9230.8700000000008</v>
      </c>
      <c r="AT162" s="67">
        <f t="shared" si="12"/>
        <v>18437.509999999998</v>
      </c>
      <c r="AU162" s="68">
        <f t="shared" si="13"/>
        <v>3.0333333333333332</v>
      </c>
      <c r="AV162" s="19">
        <f t="shared" si="14"/>
        <v>2.6929616624197239E-3</v>
      </c>
      <c r="AW162" s="69">
        <f t="shared" si="15"/>
        <v>0</v>
      </c>
      <c r="AY162" s="65">
        <f t="shared" si="16"/>
        <v>0</v>
      </c>
      <c r="AZ162" s="16">
        <f t="shared" si="17"/>
        <v>1</v>
      </c>
      <c r="BA162" s="16">
        <f t="shared" si="18"/>
        <v>0</v>
      </c>
      <c r="BB162" s="70">
        <f t="shared" si="19"/>
        <v>0</v>
      </c>
      <c r="BC162" s="67">
        <f t="shared" si="20"/>
        <v>0</v>
      </c>
      <c r="BD162" s="71">
        <f t="shared" si="21"/>
        <v>0</v>
      </c>
      <c r="BE162" s="19">
        <f t="shared" si="22"/>
        <v>0</v>
      </c>
      <c r="BF162" s="69">
        <f t="shared" si="23"/>
        <v>0</v>
      </c>
      <c r="BH162" s="72">
        <f t="shared" si="24"/>
        <v>18437.509999999998</v>
      </c>
      <c r="BI162" s="73">
        <f t="shared" si="25"/>
        <v>1</v>
      </c>
      <c r="BJ162" s="74">
        <f t="shared" si="26"/>
        <v>1.6391298979232861E-3</v>
      </c>
      <c r="BK162" s="75">
        <f t="shared" si="27"/>
        <v>0</v>
      </c>
      <c r="BM162" s="76">
        <f t="shared" si="28"/>
        <v>1</v>
      </c>
    </row>
    <row r="163" spans="1:65" ht="12.75" customHeight="1" x14ac:dyDescent="0.2">
      <c r="A163" s="47"/>
      <c r="B163" s="48" t="s">
        <v>343</v>
      </c>
      <c r="C163" s="49">
        <v>18900</v>
      </c>
      <c r="D163" s="50">
        <v>13</v>
      </c>
      <c r="E163" s="49">
        <v>16420.34</v>
      </c>
      <c r="F163" s="50" t="s">
        <v>55</v>
      </c>
      <c r="G163" s="51">
        <v>42428</v>
      </c>
      <c r="H163" s="52" t="s">
        <v>56</v>
      </c>
      <c r="I163" s="51">
        <v>42457</v>
      </c>
      <c r="J163" s="52">
        <f t="shared" si="0"/>
        <v>0.96666666666666667</v>
      </c>
      <c r="K163" s="53" t="s">
        <v>344</v>
      </c>
      <c r="L163" s="53">
        <v>34000</v>
      </c>
      <c r="M163" s="54">
        <v>962.71</v>
      </c>
      <c r="N163" s="54">
        <v>8950.23</v>
      </c>
      <c r="O163" s="54">
        <v>3271.38</v>
      </c>
      <c r="P163" s="54">
        <f t="shared" si="42"/>
        <v>0</v>
      </c>
      <c r="Q163" s="54">
        <f t="shared" si="34"/>
        <v>0</v>
      </c>
      <c r="R163" s="55">
        <f t="shared" si="3"/>
        <v>0</v>
      </c>
      <c r="S163" s="55">
        <f t="shared" si="4"/>
        <v>1</v>
      </c>
      <c r="T163" s="56"/>
      <c r="V163" s="57">
        <v>131.75</v>
      </c>
      <c r="W163" s="58"/>
      <c r="X163" s="58">
        <v>9.2200000000000006</v>
      </c>
      <c r="Y163" s="58"/>
      <c r="Z163" s="58">
        <f>86.49+163.37+76.26+39.37+33.79</f>
        <v>399.28000000000003</v>
      </c>
      <c r="AA163" s="58">
        <f>2030.17+919.48</f>
        <v>2949.65</v>
      </c>
      <c r="AB163" s="58">
        <f t="shared" si="37"/>
        <v>3489.9</v>
      </c>
      <c r="AC163" s="58">
        <v>11900.01</v>
      </c>
      <c r="AD163" s="59">
        <v>6.5000000000000002E-2</v>
      </c>
      <c r="AE163" s="60">
        <f t="shared" si="50"/>
        <v>381.45237534246576</v>
      </c>
      <c r="AF163" s="61">
        <v>4520.33</v>
      </c>
      <c r="AG163" s="59">
        <v>7.7499999999999999E-2</v>
      </c>
      <c r="AH163" s="60">
        <f t="shared" si="51"/>
        <v>172.76329726027399</v>
      </c>
      <c r="AI163" s="62">
        <f t="shared" si="52"/>
        <v>16420.34</v>
      </c>
      <c r="AJ163" s="62">
        <f t="shared" si="6"/>
        <v>554.21567260273969</v>
      </c>
      <c r="AK163" s="63">
        <f t="shared" si="40"/>
        <v>554.21567260273969</v>
      </c>
      <c r="AL163" s="64">
        <f t="shared" si="41"/>
        <v>962.71567260273969</v>
      </c>
      <c r="AP163" s="65">
        <f t="shared" si="8"/>
        <v>1</v>
      </c>
      <c r="AQ163" s="16">
        <f t="shared" si="9"/>
        <v>1</v>
      </c>
      <c r="AR163" s="16">
        <f t="shared" si="10"/>
        <v>1</v>
      </c>
      <c r="AS163" s="66">
        <f t="shared" si="11"/>
        <v>12221.61</v>
      </c>
      <c r="AT163" s="67">
        <f t="shared" si="12"/>
        <v>16420.34</v>
      </c>
      <c r="AU163" s="68">
        <f t="shared" si="13"/>
        <v>0.96666666666666667</v>
      </c>
      <c r="AV163" s="19">
        <f t="shared" si="14"/>
        <v>2.3983361150121192E-3</v>
      </c>
      <c r="AW163" s="69">
        <f t="shared" si="15"/>
        <v>0</v>
      </c>
      <c r="AY163" s="65">
        <f t="shared" si="16"/>
        <v>0</v>
      </c>
      <c r="AZ163" s="16">
        <f t="shared" si="17"/>
        <v>1</v>
      </c>
      <c r="BA163" s="16">
        <f t="shared" si="18"/>
        <v>0</v>
      </c>
      <c r="BB163" s="70">
        <f t="shared" si="19"/>
        <v>0</v>
      </c>
      <c r="BC163" s="67">
        <f t="shared" si="20"/>
        <v>0</v>
      </c>
      <c r="BD163" s="71">
        <f t="shared" si="21"/>
        <v>0</v>
      </c>
      <c r="BE163" s="19">
        <f t="shared" si="22"/>
        <v>0</v>
      </c>
      <c r="BF163" s="69">
        <f t="shared" si="23"/>
        <v>0</v>
      </c>
      <c r="BH163" s="72">
        <f t="shared" si="24"/>
        <v>16420.34</v>
      </c>
      <c r="BI163" s="73">
        <f t="shared" si="25"/>
        <v>1</v>
      </c>
      <c r="BJ163" s="74">
        <f t="shared" si="26"/>
        <v>1.4597996273935934E-3</v>
      </c>
      <c r="BK163" s="75">
        <f t="shared" si="27"/>
        <v>0</v>
      </c>
      <c r="BM163" s="76">
        <f t="shared" si="28"/>
        <v>1</v>
      </c>
    </row>
    <row r="164" spans="1:65" ht="12.75" customHeight="1" x14ac:dyDescent="0.2">
      <c r="A164" s="47"/>
      <c r="B164" s="48" t="s">
        <v>345</v>
      </c>
      <c r="C164" s="49">
        <v>30310.92</v>
      </c>
      <c r="D164" s="50">
        <v>13</v>
      </c>
      <c r="E164" s="49">
        <v>30305.7</v>
      </c>
      <c r="F164" s="50" t="s">
        <v>55</v>
      </c>
      <c r="G164" s="51">
        <v>42428</v>
      </c>
      <c r="H164" s="52" t="s">
        <v>56</v>
      </c>
      <c r="I164" s="51">
        <v>42518</v>
      </c>
      <c r="J164" s="52">
        <f t="shared" si="0"/>
        <v>3</v>
      </c>
      <c r="K164" s="53" t="s">
        <v>68</v>
      </c>
      <c r="L164" s="53">
        <v>42150</v>
      </c>
      <c r="M164" s="54">
        <v>1559.07</v>
      </c>
      <c r="N164" s="54">
        <v>8960.01</v>
      </c>
      <c r="O164" s="54">
        <v>2750</v>
      </c>
      <c r="P164" s="54">
        <f t="shared" si="42"/>
        <v>0</v>
      </c>
      <c r="Q164" s="54">
        <f t="shared" si="34"/>
        <v>1424.7800000000007</v>
      </c>
      <c r="R164" s="55">
        <f t="shared" si="3"/>
        <v>4.7013598102007233E-2</v>
      </c>
      <c r="S164" s="55">
        <f t="shared" si="4"/>
        <v>0.95298640189799277</v>
      </c>
      <c r="T164" s="56"/>
      <c r="V164" s="57">
        <v>184</v>
      </c>
      <c r="W164" s="58"/>
      <c r="X164" s="58">
        <v>12.88</v>
      </c>
      <c r="Y164" s="58">
        <v>261.11</v>
      </c>
      <c r="Z164" s="58">
        <f>110.25+272.16+65.13+195.51+68.46</f>
        <v>711.51</v>
      </c>
      <c r="AA164" s="58">
        <f>407.54+1967.01</f>
        <v>2374.5500000000002</v>
      </c>
      <c r="AB164" s="58">
        <f t="shared" si="37"/>
        <v>3544.0500000000006</v>
      </c>
      <c r="AC164" s="58">
        <v>16666.7</v>
      </c>
      <c r="AD164" s="59">
        <v>1.2500000000000001E-2</v>
      </c>
      <c r="AE164" s="60">
        <f t="shared" si="50"/>
        <v>102.73993150684932</v>
      </c>
      <c r="AF164" s="61">
        <v>13639</v>
      </c>
      <c r="AG164" s="59">
        <v>7.0000000000000007E-2</v>
      </c>
      <c r="AH164" s="60">
        <f t="shared" si="51"/>
        <v>470.82575342465759</v>
      </c>
      <c r="AI164" s="62">
        <f t="shared" si="52"/>
        <v>30305.7</v>
      </c>
      <c r="AJ164" s="62">
        <f t="shared" si="6"/>
        <v>573.56568493150689</v>
      </c>
      <c r="AK164" s="63">
        <f t="shared" si="40"/>
        <v>573.56568493150689</v>
      </c>
      <c r="AL164" s="64">
        <f t="shared" si="41"/>
        <v>1559.0656849315069</v>
      </c>
      <c r="AP164" s="65">
        <f t="shared" si="8"/>
        <v>1</v>
      </c>
      <c r="AQ164" s="16">
        <f t="shared" si="9"/>
        <v>1</v>
      </c>
      <c r="AR164" s="16">
        <f t="shared" si="10"/>
        <v>1</v>
      </c>
      <c r="AS164" s="66">
        <f t="shared" si="11"/>
        <v>11710.01</v>
      </c>
      <c r="AT164" s="67">
        <f t="shared" si="12"/>
        <v>30305.7</v>
      </c>
      <c r="AU164" s="68">
        <f t="shared" si="13"/>
        <v>3</v>
      </c>
      <c r="AV164" s="19">
        <f t="shared" si="14"/>
        <v>4.4264159451462498E-3</v>
      </c>
      <c r="AW164" s="69">
        <f t="shared" si="15"/>
        <v>2.0810174027742229E-4</v>
      </c>
      <c r="AY164" s="65">
        <f t="shared" si="16"/>
        <v>0</v>
      </c>
      <c r="AZ164" s="16">
        <f t="shared" si="17"/>
        <v>1</v>
      </c>
      <c r="BA164" s="16">
        <f t="shared" si="18"/>
        <v>0</v>
      </c>
      <c r="BB164" s="70">
        <f t="shared" si="19"/>
        <v>0</v>
      </c>
      <c r="BC164" s="67">
        <f t="shared" si="20"/>
        <v>0</v>
      </c>
      <c r="BD164" s="71">
        <f t="shared" si="21"/>
        <v>0</v>
      </c>
      <c r="BE164" s="19">
        <f t="shared" si="22"/>
        <v>0</v>
      </c>
      <c r="BF164" s="69">
        <f t="shared" si="23"/>
        <v>0</v>
      </c>
      <c r="BH164" s="72">
        <f t="shared" si="24"/>
        <v>30305.7</v>
      </c>
      <c r="BI164" s="73">
        <f t="shared" si="25"/>
        <v>1</v>
      </c>
      <c r="BJ164" s="74">
        <f t="shared" si="26"/>
        <v>2.6942346850249159E-3</v>
      </c>
      <c r="BK164" s="75">
        <f t="shared" si="27"/>
        <v>1.2666566667424945E-4</v>
      </c>
      <c r="BM164" s="76">
        <f t="shared" si="28"/>
        <v>1</v>
      </c>
    </row>
    <row r="165" spans="1:65" ht="12.75" customHeight="1" x14ac:dyDescent="0.2">
      <c r="A165" s="47"/>
      <c r="B165" s="48" t="s">
        <v>346</v>
      </c>
      <c r="C165" s="49">
        <v>30599.83</v>
      </c>
      <c r="D165" s="50">
        <v>13</v>
      </c>
      <c r="E165" s="49">
        <v>27272.95</v>
      </c>
      <c r="F165" s="50" t="s">
        <v>55</v>
      </c>
      <c r="G165" s="51">
        <v>42428</v>
      </c>
      <c r="H165" s="52" t="s">
        <v>56</v>
      </c>
      <c r="I165" s="51">
        <v>42579</v>
      </c>
      <c r="J165" s="52">
        <f t="shared" si="0"/>
        <v>5.0333333333333332</v>
      </c>
      <c r="K165" s="53" t="s">
        <v>347</v>
      </c>
      <c r="L165" s="53">
        <v>50000</v>
      </c>
      <c r="M165" s="54">
        <v>1160.1600000000001</v>
      </c>
      <c r="N165" s="54">
        <v>4170.78</v>
      </c>
      <c r="O165" s="54">
        <v>823</v>
      </c>
      <c r="P165" s="54">
        <f t="shared" si="42"/>
        <v>0</v>
      </c>
      <c r="Q165" s="54">
        <f t="shared" si="34"/>
        <v>0</v>
      </c>
      <c r="R165" s="55">
        <f t="shared" si="3"/>
        <v>0</v>
      </c>
      <c r="S165" s="55">
        <f t="shared" si="4"/>
        <v>1</v>
      </c>
      <c r="T165" s="56"/>
      <c r="V165" s="57">
        <v>68</v>
      </c>
      <c r="W165" s="58"/>
      <c r="X165" s="58">
        <v>4.76</v>
      </c>
      <c r="Y165" s="58"/>
      <c r="Z165" s="58">
        <f>72.32+172</f>
        <v>244.32</v>
      </c>
      <c r="AA165" s="58">
        <v>2135.73</v>
      </c>
      <c r="AB165" s="58">
        <f t="shared" si="37"/>
        <v>2452.8100000000004</v>
      </c>
      <c r="AC165" s="58">
        <v>21295.5</v>
      </c>
      <c r="AD165" s="59">
        <v>6.5000000000000002E-2</v>
      </c>
      <c r="AE165" s="60">
        <f t="shared" si="50"/>
        <v>682.62287671232878</v>
      </c>
      <c r="AF165" s="61">
        <v>5977.45</v>
      </c>
      <c r="AG165" s="59">
        <v>7.7499999999999999E-2</v>
      </c>
      <c r="AH165" s="60">
        <f t="shared" si="51"/>
        <v>228.45322602739725</v>
      </c>
      <c r="AI165" s="62">
        <f t="shared" si="52"/>
        <v>27272.95</v>
      </c>
      <c r="AJ165" s="62">
        <f t="shared" si="6"/>
        <v>911.07610273972602</v>
      </c>
      <c r="AK165" s="63">
        <f t="shared" si="40"/>
        <v>911.07610273972602</v>
      </c>
      <c r="AL165" s="64">
        <f t="shared" si="41"/>
        <v>1160.1561027397261</v>
      </c>
      <c r="AP165" s="65">
        <f t="shared" si="8"/>
        <v>1</v>
      </c>
      <c r="AQ165" s="16">
        <f t="shared" si="9"/>
        <v>1</v>
      </c>
      <c r="AR165" s="16">
        <f t="shared" si="10"/>
        <v>1</v>
      </c>
      <c r="AS165" s="66">
        <f t="shared" si="11"/>
        <v>4993.78</v>
      </c>
      <c r="AT165" s="67">
        <f t="shared" si="12"/>
        <v>27272.95</v>
      </c>
      <c r="AU165" s="68">
        <f t="shared" si="13"/>
        <v>5.0333333333333332</v>
      </c>
      <c r="AV165" s="19">
        <f t="shared" si="14"/>
        <v>3.9834559423203037E-3</v>
      </c>
      <c r="AW165" s="69">
        <f t="shared" si="15"/>
        <v>0</v>
      </c>
      <c r="AY165" s="65">
        <f t="shared" si="16"/>
        <v>0</v>
      </c>
      <c r="AZ165" s="16">
        <f t="shared" si="17"/>
        <v>1</v>
      </c>
      <c r="BA165" s="16">
        <f t="shared" si="18"/>
        <v>0</v>
      </c>
      <c r="BB165" s="70">
        <f t="shared" si="19"/>
        <v>0</v>
      </c>
      <c r="BC165" s="67">
        <f t="shared" si="20"/>
        <v>0</v>
      </c>
      <c r="BD165" s="71">
        <f t="shared" si="21"/>
        <v>0</v>
      </c>
      <c r="BE165" s="19">
        <f t="shared" si="22"/>
        <v>0</v>
      </c>
      <c r="BF165" s="69">
        <f t="shared" si="23"/>
        <v>0</v>
      </c>
      <c r="BH165" s="72">
        <f t="shared" si="24"/>
        <v>27272.95</v>
      </c>
      <c r="BI165" s="73">
        <f t="shared" si="25"/>
        <v>1</v>
      </c>
      <c r="BJ165" s="74">
        <f t="shared" si="26"/>
        <v>2.4246174103535068E-3</v>
      </c>
      <c r="BK165" s="75">
        <f t="shared" si="27"/>
        <v>0</v>
      </c>
      <c r="BM165" s="76">
        <f t="shared" si="28"/>
        <v>1</v>
      </c>
    </row>
    <row r="166" spans="1:65" ht="12.75" customHeight="1" x14ac:dyDescent="0.2">
      <c r="A166" s="47"/>
      <c r="B166" s="48" t="s">
        <v>348</v>
      </c>
      <c r="C166" s="49">
        <v>19906.509999999998</v>
      </c>
      <c r="D166" s="50">
        <v>6</v>
      </c>
      <c r="E166" s="49">
        <v>16898.990000000002</v>
      </c>
      <c r="F166" s="50" t="s">
        <v>55</v>
      </c>
      <c r="G166" s="51">
        <v>42457</v>
      </c>
      <c r="H166" s="52" t="s">
        <v>56</v>
      </c>
      <c r="I166" s="51">
        <v>42488</v>
      </c>
      <c r="J166" s="52">
        <f t="shared" si="0"/>
        <v>1.0333333333333334</v>
      </c>
      <c r="K166" s="53" t="s">
        <v>349</v>
      </c>
      <c r="L166" s="53">
        <v>38000</v>
      </c>
      <c r="M166" s="54">
        <v>8.67</v>
      </c>
      <c r="N166" s="54">
        <v>3894.38</v>
      </c>
      <c r="O166" s="54">
        <v>0</v>
      </c>
      <c r="P166" s="54">
        <f t="shared" si="42"/>
        <v>0</v>
      </c>
      <c r="Q166" s="54">
        <f t="shared" si="34"/>
        <v>0</v>
      </c>
      <c r="R166" s="55">
        <f t="shared" si="3"/>
        <v>0</v>
      </c>
      <c r="S166" s="55">
        <f t="shared" si="4"/>
        <v>1</v>
      </c>
      <c r="T166" s="56"/>
      <c r="V166" s="57">
        <v>4.25</v>
      </c>
      <c r="W166" s="58"/>
      <c r="X166" s="58">
        <v>0.3</v>
      </c>
      <c r="Y166" s="58"/>
      <c r="Z166" s="58">
        <f>2.65+2.3+3.26</f>
        <v>8.2099999999999991</v>
      </c>
      <c r="AA166" s="58">
        <v>0.16</v>
      </c>
      <c r="AB166" s="58">
        <f t="shared" si="37"/>
        <v>12.92</v>
      </c>
      <c r="AC166" s="58"/>
      <c r="AD166" s="59">
        <v>0.02</v>
      </c>
      <c r="AE166" s="60">
        <f t="shared" ref="AE166:AE169" si="53">((E166*AD166)/365)*180</f>
        <v>166.6749698630137</v>
      </c>
      <c r="AF166" s="61"/>
      <c r="AG166" s="59"/>
      <c r="AH166" s="60">
        <f t="shared" ref="AH166:AH169" si="54">((E166*AG166)/365)*180</f>
        <v>0</v>
      </c>
      <c r="AI166" s="62"/>
      <c r="AJ166" s="62">
        <f t="shared" si="6"/>
        <v>166.6749698630137</v>
      </c>
      <c r="AK166" s="63">
        <f t="shared" si="40"/>
        <v>0.16</v>
      </c>
      <c r="AL166" s="64">
        <f t="shared" si="41"/>
        <v>8.67</v>
      </c>
      <c r="AP166" s="65">
        <f t="shared" si="8"/>
        <v>1</v>
      </c>
      <c r="AQ166" s="16">
        <f t="shared" si="9"/>
        <v>1</v>
      </c>
      <c r="AR166" s="16">
        <f t="shared" si="10"/>
        <v>1</v>
      </c>
      <c r="AS166" s="66">
        <f t="shared" si="11"/>
        <v>3894.38</v>
      </c>
      <c r="AT166" s="67">
        <f t="shared" si="12"/>
        <v>16898.990000000002</v>
      </c>
      <c r="AU166" s="68">
        <f t="shared" si="13"/>
        <v>1.0333333333333334</v>
      </c>
      <c r="AV166" s="19">
        <f t="shared" si="14"/>
        <v>2.4682471875873855E-3</v>
      </c>
      <c r="AW166" s="69">
        <f t="shared" si="15"/>
        <v>0</v>
      </c>
      <c r="AY166" s="65">
        <f t="shared" si="16"/>
        <v>0</v>
      </c>
      <c r="AZ166" s="16">
        <f t="shared" si="17"/>
        <v>1</v>
      </c>
      <c r="BA166" s="16">
        <f t="shared" si="18"/>
        <v>0</v>
      </c>
      <c r="BB166" s="70">
        <f t="shared" si="19"/>
        <v>0</v>
      </c>
      <c r="BC166" s="67">
        <f t="shared" si="20"/>
        <v>0</v>
      </c>
      <c r="BD166" s="71">
        <f t="shared" si="21"/>
        <v>0</v>
      </c>
      <c r="BE166" s="19">
        <f t="shared" si="22"/>
        <v>0</v>
      </c>
      <c r="BF166" s="69">
        <f t="shared" si="23"/>
        <v>0</v>
      </c>
      <c r="BH166" s="72">
        <f t="shared" si="24"/>
        <v>16898.990000000002</v>
      </c>
      <c r="BI166" s="73">
        <f t="shared" si="25"/>
        <v>1</v>
      </c>
      <c r="BJ166" s="74">
        <f t="shared" si="26"/>
        <v>1.5023525277386499E-3</v>
      </c>
      <c r="BK166" s="75">
        <f t="shared" si="27"/>
        <v>0</v>
      </c>
      <c r="BM166" s="76">
        <f t="shared" si="28"/>
        <v>1</v>
      </c>
    </row>
    <row r="167" spans="1:65" ht="12.75" customHeight="1" x14ac:dyDescent="0.2">
      <c r="A167" s="47"/>
      <c r="B167" s="48" t="s">
        <v>350</v>
      </c>
      <c r="C167" s="49">
        <v>35635.050000000003</v>
      </c>
      <c r="D167" s="50">
        <v>13</v>
      </c>
      <c r="E167" s="49">
        <v>35173.980000000003</v>
      </c>
      <c r="F167" s="50" t="s">
        <v>55</v>
      </c>
      <c r="G167" s="51">
        <v>42488</v>
      </c>
      <c r="H167" s="52" t="s">
        <v>56</v>
      </c>
      <c r="I167" s="51">
        <v>42518</v>
      </c>
      <c r="J167" s="52">
        <f t="shared" si="0"/>
        <v>1</v>
      </c>
      <c r="K167" s="53" t="s">
        <v>180</v>
      </c>
      <c r="L167" s="53">
        <v>41500</v>
      </c>
      <c r="M167" s="54">
        <v>314.20999999999998</v>
      </c>
      <c r="N167" s="54">
        <v>10460.33</v>
      </c>
      <c r="O167" s="54">
        <v>470</v>
      </c>
      <c r="P167" s="54">
        <f t="shared" si="42"/>
        <v>0</v>
      </c>
      <c r="Q167" s="54">
        <f t="shared" si="34"/>
        <v>4918.5200000000032</v>
      </c>
      <c r="R167" s="55">
        <f t="shared" si="3"/>
        <v>0.13983404778191158</v>
      </c>
      <c r="S167" s="55">
        <f t="shared" si="4"/>
        <v>0.86016595221808845</v>
      </c>
      <c r="T167" s="56"/>
      <c r="V167" s="57">
        <v>152.15</v>
      </c>
      <c r="W167" s="58"/>
      <c r="X167" s="58">
        <v>10.65</v>
      </c>
      <c r="Y167" s="58"/>
      <c r="Z167" s="58"/>
      <c r="AA167" s="58">
        <v>1767.37</v>
      </c>
      <c r="AB167" s="58">
        <f t="shared" si="37"/>
        <v>1930.17</v>
      </c>
      <c r="AC167" s="58"/>
      <c r="AD167" s="59">
        <v>1.7500000000000002E-2</v>
      </c>
      <c r="AE167" s="60">
        <f t="shared" si="53"/>
        <v>303.55626575342478</v>
      </c>
      <c r="AF167" s="61"/>
      <c r="AG167" s="59"/>
      <c r="AH167" s="60">
        <f t="shared" si="54"/>
        <v>0</v>
      </c>
      <c r="AI167" s="62"/>
      <c r="AJ167" s="62">
        <f t="shared" si="6"/>
        <v>303.55626575342478</v>
      </c>
      <c r="AK167" s="63">
        <f t="shared" si="40"/>
        <v>303.55626575342478</v>
      </c>
      <c r="AL167" s="64">
        <f t="shared" si="41"/>
        <v>314.20626575342476</v>
      </c>
      <c r="AP167" s="65">
        <f t="shared" si="8"/>
        <v>1</v>
      </c>
      <c r="AQ167" s="16">
        <f t="shared" si="9"/>
        <v>1</v>
      </c>
      <c r="AR167" s="16">
        <f t="shared" si="10"/>
        <v>1</v>
      </c>
      <c r="AS167" s="66">
        <f t="shared" si="11"/>
        <v>10930.33</v>
      </c>
      <c r="AT167" s="67">
        <f t="shared" si="12"/>
        <v>35173.980000000003</v>
      </c>
      <c r="AU167" s="68">
        <f t="shared" si="13"/>
        <v>1</v>
      </c>
      <c r="AV167" s="19">
        <f t="shared" si="14"/>
        <v>5.1374713643392265E-3</v>
      </c>
      <c r="AW167" s="69">
        <f t="shared" si="15"/>
        <v>7.1839341623921389E-4</v>
      </c>
      <c r="AY167" s="65">
        <f t="shared" si="16"/>
        <v>0</v>
      </c>
      <c r="AZ167" s="16">
        <f t="shared" si="17"/>
        <v>1</v>
      </c>
      <c r="BA167" s="16">
        <f t="shared" si="18"/>
        <v>0</v>
      </c>
      <c r="BB167" s="70">
        <f t="shared" si="19"/>
        <v>0</v>
      </c>
      <c r="BC167" s="67">
        <f t="shared" si="20"/>
        <v>0</v>
      </c>
      <c r="BD167" s="71">
        <f t="shared" si="21"/>
        <v>0</v>
      </c>
      <c r="BE167" s="19">
        <f t="shared" si="22"/>
        <v>0</v>
      </c>
      <c r="BF167" s="69">
        <f t="shared" si="23"/>
        <v>0</v>
      </c>
      <c r="BH167" s="72">
        <f t="shared" si="24"/>
        <v>35173.980000000003</v>
      </c>
      <c r="BI167" s="73">
        <f t="shared" si="25"/>
        <v>1</v>
      </c>
      <c r="BJ167" s="74">
        <f t="shared" si="26"/>
        <v>3.1270340868672459E-3</v>
      </c>
      <c r="BK167" s="75">
        <f t="shared" si="27"/>
        <v>4.3726583391866074E-4</v>
      </c>
      <c r="BM167" s="76">
        <f t="shared" si="28"/>
        <v>1</v>
      </c>
    </row>
    <row r="168" spans="1:65" ht="12.75" customHeight="1" x14ac:dyDescent="0.2">
      <c r="A168" s="47"/>
      <c r="B168" s="48" t="s">
        <v>351</v>
      </c>
      <c r="C168" s="49">
        <v>29695.05</v>
      </c>
      <c r="D168" s="50">
        <v>13</v>
      </c>
      <c r="E168" s="49">
        <v>27567.119999999999</v>
      </c>
      <c r="F168" s="50" t="s">
        <v>55</v>
      </c>
      <c r="G168" s="51">
        <v>42518</v>
      </c>
      <c r="H168" s="52" t="s">
        <v>56</v>
      </c>
      <c r="I168" s="51">
        <v>42732</v>
      </c>
      <c r="J168" s="52">
        <f t="shared" si="0"/>
        <v>7.1333333333333337</v>
      </c>
      <c r="K168" s="53" t="s">
        <v>349</v>
      </c>
      <c r="L168" s="53">
        <v>43000</v>
      </c>
      <c r="M168" s="54">
        <v>257.64</v>
      </c>
      <c r="N168" s="54">
        <v>2892.65</v>
      </c>
      <c r="O168" s="54">
        <v>3986.22</v>
      </c>
      <c r="P168" s="54">
        <f t="shared" si="42"/>
        <v>0</v>
      </c>
      <c r="Q168" s="54">
        <f t="shared" si="34"/>
        <v>0</v>
      </c>
      <c r="R168" s="55">
        <f t="shared" si="3"/>
        <v>0</v>
      </c>
      <c r="S168" s="55">
        <f t="shared" si="4"/>
        <v>1</v>
      </c>
      <c r="T168" s="56"/>
      <c r="V168" s="57">
        <v>152</v>
      </c>
      <c r="W168" s="58"/>
      <c r="X168" s="58">
        <v>10.64</v>
      </c>
      <c r="Y168" s="58"/>
      <c r="Z168" s="58">
        <f>75.81+171.19</f>
        <v>247</v>
      </c>
      <c r="AA168" s="58"/>
      <c r="AB168" s="58">
        <f t="shared" si="37"/>
        <v>409.64</v>
      </c>
      <c r="AC168" s="58"/>
      <c r="AD168" s="59">
        <v>0</v>
      </c>
      <c r="AE168" s="60">
        <f t="shared" si="53"/>
        <v>0</v>
      </c>
      <c r="AF168" s="61"/>
      <c r="AG168" s="59"/>
      <c r="AH168" s="60">
        <f t="shared" si="54"/>
        <v>0</v>
      </c>
      <c r="AI168" s="62"/>
      <c r="AJ168" s="62">
        <f t="shared" si="6"/>
        <v>0</v>
      </c>
      <c r="AK168" s="63">
        <f t="shared" si="40"/>
        <v>0</v>
      </c>
      <c r="AL168" s="64">
        <f t="shared" si="41"/>
        <v>257.64</v>
      </c>
      <c r="AP168" s="65">
        <f t="shared" si="8"/>
        <v>1</v>
      </c>
      <c r="AQ168" s="16">
        <f t="shared" si="9"/>
        <v>1</v>
      </c>
      <c r="AR168" s="16">
        <f t="shared" si="10"/>
        <v>1</v>
      </c>
      <c r="AS168" s="66">
        <f t="shared" si="11"/>
        <v>6878.87</v>
      </c>
      <c r="AT168" s="67">
        <f t="shared" si="12"/>
        <v>27567.119999999999</v>
      </c>
      <c r="AU168" s="68">
        <f t="shared" si="13"/>
        <v>7.1333333333333337</v>
      </c>
      <c r="AV168" s="19">
        <f t="shared" si="14"/>
        <v>4.0264220766971261E-3</v>
      </c>
      <c r="AW168" s="69">
        <f t="shared" si="15"/>
        <v>0</v>
      </c>
      <c r="AY168" s="65">
        <f t="shared" si="16"/>
        <v>0</v>
      </c>
      <c r="AZ168" s="16">
        <f t="shared" si="17"/>
        <v>1</v>
      </c>
      <c r="BA168" s="16">
        <f t="shared" si="18"/>
        <v>0</v>
      </c>
      <c r="BB168" s="70">
        <f t="shared" si="19"/>
        <v>0</v>
      </c>
      <c r="BC168" s="67">
        <f t="shared" si="20"/>
        <v>0</v>
      </c>
      <c r="BD168" s="71">
        <f t="shared" si="21"/>
        <v>0</v>
      </c>
      <c r="BE168" s="19">
        <f t="shared" si="22"/>
        <v>0</v>
      </c>
      <c r="BF168" s="69">
        <f t="shared" si="23"/>
        <v>0</v>
      </c>
      <c r="BH168" s="72">
        <f t="shared" si="24"/>
        <v>27567.119999999999</v>
      </c>
      <c r="BI168" s="73">
        <f t="shared" si="25"/>
        <v>1</v>
      </c>
      <c r="BJ168" s="74">
        <f t="shared" si="26"/>
        <v>2.450769685908725E-3</v>
      </c>
      <c r="BK168" s="75">
        <f t="shared" si="27"/>
        <v>0</v>
      </c>
      <c r="BM168" s="76">
        <f t="shared" si="28"/>
        <v>1</v>
      </c>
    </row>
    <row r="169" spans="1:65" ht="12.75" customHeight="1" x14ac:dyDescent="0.2">
      <c r="A169" s="47"/>
      <c r="B169" s="48" t="s">
        <v>352</v>
      </c>
      <c r="C169" s="49">
        <v>25300</v>
      </c>
      <c r="D169" s="50">
        <v>13</v>
      </c>
      <c r="E169" s="49">
        <v>24392.35</v>
      </c>
      <c r="F169" s="50" t="s">
        <v>55</v>
      </c>
      <c r="G169" s="51">
        <v>42518</v>
      </c>
      <c r="H169" s="52" t="s">
        <v>56</v>
      </c>
      <c r="I169" s="51">
        <v>43006</v>
      </c>
      <c r="J169" s="52">
        <f t="shared" si="0"/>
        <v>16.266666666666666</v>
      </c>
      <c r="K169" s="53" t="s">
        <v>353</v>
      </c>
      <c r="L169" s="53">
        <v>25000</v>
      </c>
      <c r="M169" s="54">
        <v>470.52000000000004</v>
      </c>
      <c r="N169" s="54">
        <v>3399.46</v>
      </c>
      <c r="O169" s="54">
        <v>8031.06</v>
      </c>
      <c r="P169" s="54">
        <f t="shared" si="42"/>
        <v>0</v>
      </c>
      <c r="Q169" s="54">
        <f t="shared" si="34"/>
        <v>11293.39</v>
      </c>
      <c r="R169" s="55">
        <f t="shared" si="3"/>
        <v>0.46298901089890887</v>
      </c>
      <c r="S169" s="55">
        <f t="shared" si="4"/>
        <v>0.53701098910109113</v>
      </c>
      <c r="T169" s="56"/>
      <c r="V169" s="57">
        <v>288</v>
      </c>
      <c r="W169" s="58"/>
      <c r="X169" s="58">
        <v>20.16</v>
      </c>
      <c r="Y169" s="58"/>
      <c r="Z169" s="58">
        <f>143.64+172.08+134.64</f>
        <v>450.36</v>
      </c>
      <c r="AA169" s="58"/>
      <c r="AB169" s="58">
        <f t="shared" si="37"/>
        <v>758.52</v>
      </c>
      <c r="AC169" s="58"/>
      <c r="AD169" s="59">
        <v>0</v>
      </c>
      <c r="AE169" s="60">
        <f t="shared" si="53"/>
        <v>0</v>
      </c>
      <c r="AF169" s="61"/>
      <c r="AG169" s="59"/>
      <c r="AH169" s="60">
        <f t="shared" si="54"/>
        <v>0</v>
      </c>
      <c r="AI169" s="62"/>
      <c r="AJ169" s="62">
        <f t="shared" si="6"/>
        <v>0</v>
      </c>
      <c r="AK169" s="63">
        <f t="shared" si="40"/>
        <v>0</v>
      </c>
      <c r="AL169" s="64">
        <f t="shared" si="41"/>
        <v>470.52000000000004</v>
      </c>
      <c r="AP169" s="65">
        <f t="shared" si="8"/>
        <v>1</v>
      </c>
      <c r="AQ169" s="16">
        <f t="shared" si="9"/>
        <v>1</v>
      </c>
      <c r="AR169" s="16">
        <f t="shared" si="10"/>
        <v>1</v>
      </c>
      <c r="AS169" s="66">
        <f t="shared" si="11"/>
        <v>11430.52</v>
      </c>
      <c r="AT169" s="67">
        <f t="shared" si="12"/>
        <v>24392.35</v>
      </c>
      <c r="AU169" s="68">
        <f t="shared" si="13"/>
        <v>16.266666666666666</v>
      </c>
      <c r="AV169" s="19">
        <f t="shared" si="14"/>
        <v>3.5627187948005863E-3</v>
      </c>
      <c r="AW169" s="69">
        <f t="shared" si="15"/>
        <v>1.6494996509156762E-3</v>
      </c>
      <c r="AY169" s="65">
        <f t="shared" si="16"/>
        <v>0</v>
      </c>
      <c r="AZ169" s="16">
        <f t="shared" si="17"/>
        <v>1</v>
      </c>
      <c r="BA169" s="16">
        <f t="shared" si="18"/>
        <v>0</v>
      </c>
      <c r="BB169" s="70">
        <f t="shared" si="19"/>
        <v>0</v>
      </c>
      <c r="BC169" s="67">
        <f t="shared" si="20"/>
        <v>0</v>
      </c>
      <c r="BD169" s="71">
        <f t="shared" si="21"/>
        <v>0</v>
      </c>
      <c r="BE169" s="19">
        <f t="shared" si="22"/>
        <v>0</v>
      </c>
      <c r="BF169" s="69">
        <f t="shared" si="23"/>
        <v>0</v>
      </c>
      <c r="BH169" s="72">
        <f t="shared" si="24"/>
        <v>24392.35</v>
      </c>
      <c r="BI169" s="73">
        <f t="shared" si="25"/>
        <v>1</v>
      </c>
      <c r="BJ169" s="74">
        <f t="shared" si="26"/>
        <v>2.1685265616457465E-3</v>
      </c>
      <c r="BK169" s="75">
        <f t="shared" si="27"/>
        <v>1.0040039678843758E-3</v>
      </c>
      <c r="BM169" s="76">
        <f t="shared" si="28"/>
        <v>1</v>
      </c>
    </row>
    <row r="170" spans="1:65" ht="12.75" customHeight="1" x14ac:dyDescent="0.2">
      <c r="A170" s="47"/>
      <c r="B170" s="48" t="s">
        <v>354</v>
      </c>
      <c r="C170" s="49">
        <v>26775</v>
      </c>
      <c r="D170" s="50">
        <v>13</v>
      </c>
      <c r="E170" s="49">
        <v>24096.65</v>
      </c>
      <c r="F170" s="50" t="s">
        <v>55</v>
      </c>
      <c r="G170" s="51">
        <v>42641</v>
      </c>
      <c r="H170" s="52" t="s">
        <v>56</v>
      </c>
      <c r="I170" s="51">
        <v>42732</v>
      </c>
      <c r="J170" s="52">
        <f t="shared" si="0"/>
        <v>3.0333333333333332</v>
      </c>
      <c r="K170" s="53" t="s">
        <v>180</v>
      </c>
      <c r="L170" s="53">
        <v>68000</v>
      </c>
      <c r="M170" s="54">
        <v>1132.58</v>
      </c>
      <c r="N170" s="54">
        <v>4618.5599999999995</v>
      </c>
      <c r="O170" s="54">
        <v>9000</v>
      </c>
      <c r="P170" s="54">
        <f t="shared" si="42"/>
        <v>0</v>
      </c>
      <c r="Q170" s="54">
        <f t="shared" si="34"/>
        <v>0</v>
      </c>
      <c r="R170" s="55">
        <f t="shared" si="3"/>
        <v>0</v>
      </c>
      <c r="S170" s="55">
        <f t="shared" si="4"/>
        <v>1</v>
      </c>
      <c r="T170" s="56"/>
      <c r="V170" s="57">
        <v>305.18</v>
      </c>
      <c r="W170" s="58">
        <v>1.6</v>
      </c>
      <c r="X170" s="58">
        <v>21.47</v>
      </c>
      <c r="Y170" s="58"/>
      <c r="Z170" s="58">
        <f>188.55</f>
        <v>188.55</v>
      </c>
      <c r="AA170" s="58">
        <f>1339.54</f>
        <v>1339.54</v>
      </c>
      <c r="AB170" s="58">
        <f t="shared" si="37"/>
        <v>1856.34</v>
      </c>
      <c r="AC170" s="58">
        <v>3843.81</v>
      </c>
      <c r="AD170" s="59">
        <v>7.7499999999999999E-2</v>
      </c>
      <c r="AE170" s="60">
        <f t="shared" ref="AE170:AE171" si="55">((AC170*AD170)/365)*180</f>
        <v>146.90725890410957</v>
      </c>
      <c r="AF170" s="61">
        <v>20252.84</v>
      </c>
      <c r="AG170" s="59">
        <v>7.7499999999999999E-2</v>
      </c>
      <c r="AH170" s="60">
        <f t="shared" ref="AH170:AH171" si="56">((AF170*AG170)/365)*180</f>
        <v>774.04689863013698</v>
      </c>
      <c r="AI170" s="62">
        <f t="shared" ref="AI170:AI171" si="57">AC170+AF170</f>
        <v>24096.65</v>
      </c>
      <c r="AJ170" s="62">
        <f t="shared" si="6"/>
        <v>920.95415753424652</v>
      </c>
      <c r="AK170" s="63">
        <f t="shared" si="40"/>
        <v>920.95415753424652</v>
      </c>
      <c r="AL170" s="64">
        <f t="shared" si="41"/>
        <v>1132.5741575342465</v>
      </c>
      <c r="AP170" s="65">
        <f t="shared" si="8"/>
        <v>1</v>
      </c>
      <c r="AQ170" s="16">
        <f t="shared" si="9"/>
        <v>1</v>
      </c>
      <c r="AR170" s="16">
        <f t="shared" si="10"/>
        <v>1</v>
      </c>
      <c r="AS170" s="66">
        <f t="shared" si="11"/>
        <v>13618.56</v>
      </c>
      <c r="AT170" s="67">
        <f t="shared" si="12"/>
        <v>24096.65</v>
      </c>
      <c r="AU170" s="68">
        <f t="shared" si="13"/>
        <v>3.0333333333333332</v>
      </c>
      <c r="AV170" s="19">
        <f t="shared" si="14"/>
        <v>3.5195291903704052E-3</v>
      </c>
      <c r="AW170" s="69">
        <f t="shared" si="15"/>
        <v>0</v>
      </c>
      <c r="AY170" s="65">
        <f t="shared" si="16"/>
        <v>0</v>
      </c>
      <c r="AZ170" s="16">
        <f t="shared" si="17"/>
        <v>1</v>
      </c>
      <c r="BA170" s="16">
        <f t="shared" si="18"/>
        <v>0</v>
      </c>
      <c r="BB170" s="70">
        <f t="shared" si="19"/>
        <v>0</v>
      </c>
      <c r="BC170" s="67">
        <f t="shared" si="20"/>
        <v>0</v>
      </c>
      <c r="BD170" s="71">
        <f t="shared" si="21"/>
        <v>0</v>
      </c>
      <c r="BE170" s="19">
        <f t="shared" si="22"/>
        <v>0</v>
      </c>
      <c r="BF170" s="69">
        <f t="shared" si="23"/>
        <v>0</v>
      </c>
      <c r="BH170" s="72">
        <f t="shared" si="24"/>
        <v>24096.65</v>
      </c>
      <c r="BI170" s="73">
        <f t="shared" si="25"/>
        <v>1</v>
      </c>
      <c r="BJ170" s="74">
        <f t="shared" si="26"/>
        <v>2.1422382661646371E-3</v>
      </c>
      <c r="BK170" s="75">
        <f t="shared" si="27"/>
        <v>0</v>
      </c>
      <c r="BM170" s="76">
        <f t="shared" si="28"/>
        <v>1</v>
      </c>
    </row>
    <row r="171" spans="1:65" ht="12.75" customHeight="1" x14ac:dyDescent="0.2">
      <c r="A171" s="47"/>
      <c r="B171" s="48" t="s">
        <v>355</v>
      </c>
      <c r="C171" s="49">
        <v>16200</v>
      </c>
      <c r="D171" s="50">
        <v>13</v>
      </c>
      <c r="E171" s="49">
        <v>13921.12</v>
      </c>
      <c r="F171" s="50" t="s">
        <v>55</v>
      </c>
      <c r="G171" s="51">
        <v>42702</v>
      </c>
      <c r="H171" s="52" t="s">
        <v>56</v>
      </c>
      <c r="I171" s="51">
        <v>42822</v>
      </c>
      <c r="J171" s="52">
        <f t="shared" si="0"/>
        <v>4</v>
      </c>
      <c r="K171" s="53" t="s">
        <v>180</v>
      </c>
      <c r="L171" s="53">
        <v>37000</v>
      </c>
      <c r="M171" s="54">
        <v>13.09</v>
      </c>
      <c r="N171" s="54">
        <v>5273.73</v>
      </c>
      <c r="O171" s="54">
        <v>2892.31</v>
      </c>
      <c r="P171" s="54">
        <f t="shared" si="42"/>
        <v>0</v>
      </c>
      <c r="Q171" s="54">
        <f t="shared" si="34"/>
        <v>0</v>
      </c>
      <c r="R171" s="55">
        <f t="shared" si="3"/>
        <v>0</v>
      </c>
      <c r="S171" s="55">
        <f t="shared" si="4"/>
        <v>1</v>
      </c>
      <c r="T171" s="56"/>
      <c r="V171" s="57">
        <v>6.75</v>
      </c>
      <c r="W171" s="58"/>
      <c r="X171" s="58">
        <v>0.47</v>
      </c>
      <c r="Y171" s="58"/>
      <c r="Z171" s="58">
        <f>2.39+6.01</f>
        <v>8.4</v>
      </c>
      <c r="AA171" s="58">
        <f>3.79+0.43</f>
        <v>4.22</v>
      </c>
      <c r="AB171" s="58">
        <f t="shared" si="37"/>
        <v>19.840000000000003</v>
      </c>
      <c r="AC171" s="58">
        <v>11487.18</v>
      </c>
      <c r="AD171" s="59">
        <v>6.5000000000000002E-2</v>
      </c>
      <c r="AE171" s="60">
        <f t="shared" si="55"/>
        <v>368.21919452054794</v>
      </c>
      <c r="AF171" s="61">
        <v>2433.94</v>
      </c>
      <c r="AG171" s="59">
        <v>7.0000000000000007E-2</v>
      </c>
      <c r="AH171" s="60">
        <f t="shared" si="56"/>
        <v>84.020942465753436</v>
      </c>
      <c r="AI171" s="62">
        <f t="shared" si="57"/>
        <v>13921.12</v>
      </c>
      <c r="AJ171" s="62">
        <f t="shared" si="6"/>
        <v>452.24013698630137</v>
      </c>
      <c r="AK171" s="63">
        <f t="shared" si="40"/>
        <v>4.22</v>
      </c>
      <c r="AL171" s="64">
        <f t="shared" si="41"/>
        <v>13.09</v>
      </c>
      <c r="AP171" s="65">
        <f t="shared" si="8"/>
        <v>1</v>
      </c>
      <c r="AQ171" s="16">
        <f t="shared" si="9"/>
        <v>1</v>
      </c>
      <c r="AR171" s="16">
        <f t="shared" si="10"/>
        <v>1</v>
      </c>
      <c r="AS171" s="66">
        <f t="shared" si="11"/>
        <v>8166.0399999999991</v>
      </c>
      <c r="AT171" s="67">
        <f t="shared" si="12"/>
        <v>13921.12</v>
      </c>
      <c r="AU171" s="68">
        <f t="shared" si="13"/>
        <v>4</v>
      </c>
      <c r="AV171" s="19">
        <f t="shared" si="14"/>
        <v>2.0333028949106723E-3</v>
      </c>
      <c r="AW171" s="69">
        <f t="shared" si="15"/>
        <v>0</v>
      </c>
      <c r="AY171" s="65">
        <f t="shared" si="16"/>
        <v>0</v>
      </c>
      <c r="AZ171" s="16">
        <f t="shared" si="17"/>
        <v>1</v>
      </c>
      <c r="BA171" s="16">
        <f t="shared" si="18"/>
        <v>0</v>
      </c>
      <c r="BB171" s="70">
        <f t="shared" si="19"/>
        <v>0</v>
      </c>
      <c r="BC171" s="67">
        <f t="shared" si="20"/>
        <v>0</v>
      </c>
      <c r="BD171" s="71">
        <f t="shared" si="21"/>
        <v>0</v>
      </c>
      <c r="BE171" s="19">
        <f t="shared" si="22"/>
        <v>0</v>
      </c>
      <c r="BF171" s="69">
        <f t="shared" si="23"/>
        <v>0</v>
      </c>
      <c r="BH171" s="72">
        <f t="shared" si="24"/>
        <v>13921.12</v>
      </c>
      <c r="BI171" s="73">
        <f t="shared" si="25"/>
        <v>1</v>
      </c>
      <c r="BJ171" s="74">
        <f t="shared" si="26"/>
        <v>1.2376141900168633E-3</v>
      </c>
      <c r="BK171" s="75">
        <f t="shared" si="27"/>
        <v>0</v>
      </c>
      <c r="BM171" s="76">
        <f t="shared" si="28"/>
        <v>1</v>
      </c>
    </row>
    <row r="172" spans="1:65" ht="12.75" customHeight="1" x14ac:dyDescent="0.2">
      <c r="A172" s="47"/>
      <c r="B172" s="48" t="s">
        <v>356</v>
      </c>
      <c r="C172" s="49">
        <v>34395.94</v>
      </c>
      <c r="D172" s="50">
        <v>13</v>
      </c>
      <c r="E172" s="49">
        <v>33780.800000000003</v>
      </c>
      <c r="F172" s="50" t="s">
        <v>55</v>
      </c>
      <c r="G172" s="51">
        <v>42732</v>
      </c>
      <c r="H172" s="52" t="s">
        <v>56</v>
      </c>
      <c r="I172" s="51">
        <v>42763</v>
      </c>
      <c r="J172" s="52">
        <f t="shared" si="0"/>
        <v>1.0333333333333334</v>
      </c>
      <c r="K172" s="53" t="s">
        <v>180</v>
      </c>
      <c r="L172" s="53">
        <v>42500</v>
      </c>
      <c r="M172" s="54">
        <v>5.33</v>
      </c>
      <c r="N172" s="54">
        <v>7737.0900000000011</v>
      </c>
      <c r="O172" s="54">
        <v>4115.3</v>
      </c>
      <c r="P172" s="54">
        <f t="shared" si="42"/>
        <v>0</v>
      </c>
      <c r="Q172" s="54">
        <f t="shared" si="34"/>
        <v>3138.5200000000041</v>
      </c>
      <c r="R172" s="55">
        <f t="shared" si="3"/>
        <v>9.2908397669682299E-2</v>
      </c>
      <c r="S172" s="55">
        <f t="shared" si="4"/>
        <v>0.90709160233031771</v>
      </c>
      <c r="T172" s="56"/>
      <c r="V172" s="57">
        <v>8</v>
      </c>
      <c r="W172" s="58"/>
      <c r="X172" s="58">
        <v>0.56000000000000005</v>
      </c>
      <c r="Y172" s="58"/>
      <c r="Z172" s="58">
        <f>4.77</f>
        <v>4.7699999999999996</v>
      </c>
      <c r="AA172" s="58">
        <v>0</v>
      </c>
      <c r="AB172" s="58">
        <f t="shared" si="37"/>
        <v>13.33</v>
      </c>
      <c r="AC172" s="58"/>
      <c r="AD172" s="59">
        <v>0</v>
      </c>
      <c r="AE172" s="60">
        <f t="shared" ref="AE172:AE176" si="58">((E172*AD172)/365)*180</f>
        <v>0</v>
      </c>
      <c r="AF172" s="61"/>
      <c r="AG172" s="59"/>
      <c r="AH172" s="60">
        <f t="shared" ref="AH172:AH176" si="59">((E172*AG172)/365)*180</f>
        <v>0</v>
      </c>
      <c r="AI172" s="62"/>
      <c r="AJ172" s="62">
        <f t="shared" si="6"/>
        <v>0</v>
      </c>
      <c r="AK172" s="63">
        <f t="shared" si="40"/>
        <v>0</v>
      </c>
      <c r="AL172" s="64">
        <f t="shared" si="41"/>
        <v>5.33</v>
      </c>
      <c r="AP172" s="65">
        <f t="shared" si="8"/>
        <v>1</v>
      </c>
      <c r="AQ172" s="16">
        <f t="shared" si="9"/>
        <v>1</v>
      </c>
      <c r="AR172" s="16">
        <f t="shared" si="10"/>
        <v>1</v>
      </c>
      <c r="AS172" s="66">
        <f t="shared" si="11"/>
        <v>11852.390000000001</v>
      </c>
      <c r="AT172" s="67">
        <f t="shared" si="12"/>
        <v>33780.800000000003</v>
      </c>
      <c r="AU172" s="68">
        <f t="shared" si="13"/>
        <v>1.0333333333333334</v>
      </c>
      <c r="AV172" s="19">
        <f t="shared" si="14"/>
        <v>4.933985083987384E-3</v>
      </c>
      <c r="AW172" s="69">
        <f t="shared" si="15"/>
        <v>4.5840864827938069E-4</v>
      </c>
      <c r="AY172" s="65">
        <f t="shared" si="16"/>
        <v>0</v>
      </c>
      <c r="AZ172" s="16">
        <f t="shared" si="17"/>
        <v>1</v>
      </c>
      <c r="BA172" s="16">
        <f t="shared" si="18"/>
        <v>0</v>
      </c>
      <c r="BB172" s="70">
        <f t="shared" si="19"/>
        <v>0</v>
      </c>
      <c r="BC172" s="67">
        <f t="shared" si="20"/>
        <v>0</v>
      </c>
      <c r="BD172" s="71">
        <f t="shared" si="21"/>
        <v>0</v>
      </c>
      <c r="BE172" s="19">
        <f t="shared" si="22"/>
        <v>0</v>
      </c>
      <c r="BF172" s="69">
        <f t="shared" si="23"/>
        <v>0</v>
      </c>
      <c r="BH172" s="72">
        <f t="shared" si="24"/>
        <v>33780.800000000003</v>
      </c>
      <c r="BI172" s="73">
        <f t="shared" si="25"/>
        <v>1</v>
      </c>
      <c r="BJ172" s="74">
        <f t="shared" si="26"/>
        <v>3.0031777206231723E-3</v>
      </c>
      <c r="BK172" s="75">
        <f t="shared" si="27"/>
        <v>2.7902042994038776E-4</v>
      </c>
      <c r="BM172" s="76">
        <f t="shared" si="28"/>
        <v>1</v>
      </c>
    </row>
    <row r="173" spans="1:65" ht="12.75" customHeight="1" x14ac:dyDescent="0.2">
      <c r="A173" s="47"/>
      <c r="B173" s="48" t="s">
        <v>357</v>
      </c>
      <c r="C173" s="49">
        <v>25300</v>
      </c>
      <c r="D173" s="50">
        <v>13</v>
      </c>
      <c r="E173" s="49">
        <v>24440.09</v>
      </c>
      <c r="F173" s="50" t="s">
        <v>55</v>
      </c>
      <c r="G173" s="51">
        <v>42732</v>
      </c>
      <c r="H173" s="52" t="s">
        <v>56</v>
      </c>
      <c r="I173" s="51">
        <v>42822</v>
      </c>
      <c r="J173" s="52">
        <f t="shared" si="0"/>
        <v>3</v>
      </c>
      <c r="K173" s="53" t="s">
        <v>180</v>
      </c>
      <c r="L173" s="53">
        <v>40000</v>
      </c>
      <c r="M173" s="54">
        <v>490.79999999999995</v>
      </c>
      <c r="N173" s="54">
        <v>3516.36</v>
      </c>
      <c r="O173" s="54">
        <v>2972.17</v>
      </c>
      <c r="P173" s="54">
        <f t="shared" si="42"/>
        <v>0</v>
      </c>
      <c r="Q173" s="54">
        <f t="shared" si="34"/>
        <v>0</v>
      </c>
      <c r="R173" s="55">
        <f t="shared" si="3"/>
        <v>0</v>
      </c>
      <c r="S173" s="55">
        <f t="shared" si="4"/>
        <v>1</v>
      </c>
      <c r="T173" s="56"/>
      <c r="V173" s="57">
        <v>320</v>
      </c>
      <c r="W173" s="58"/>
      <c r="X173" s="58">
        <v>22.4</v>
      </c>
      <c r="Y173" s="58"/>
      <c r="Z173" s="58">
        <f>159.6+159.6+149.2</f>
        <v>468.4</v>
      </c>
      <c r="AA173" s="58"/>
      <c r="AB173" s="58">
        <f t="shared" si="37"/>
        <v>810.8</v>
      </c>
      <c r="AC173" s="58"/>
      <c r="AD173" s="59">
        <v>0</v>
      </c>
      <c r="AE173" s="60">
        <f t="shared" si="58"/>
        <v>0</v>
      </c>
      <c r="AF173" s="61"/>
      <c r="AG173" s="59"/>
      <c r="AH173" s="60">
        <f t="shared" si="59"/>
        <v>0</v>
      </c>
      <c r="AI173" s="62"/>
      <c r="AJ173" s="62">
        <f t="shared" si="6"/>
        <v>0</v>
      </c>
      <c r="AK173" s="63">
        <f t="shared" si="40"/>
        <v>0</v>
      </c>
      <c r="AL173" s="64">
        <f t="shared" si="41"/>
        <v>490.79999999999995</v>
      </c>
      <c r="AP173" s="65">
        <f t="shared" si="8"/>
        <v>1</v>
      </c>
      <c r="AQ173" s="16">
        <f t="shared" si="9"/>
        <v>1</v>
      </c>
      <c r="AR173" s="16">
        <f t="shared" si="10"/>
        <v>1</v>
      </c>
      <c r="AS173" s="66">
        <f t="shared" si="11"/>
        <v>6488.5300000000007</v>
      </c>
      <c r="AT173" s="67">
        <f t="shared" si="12"/>
        <v>24440.09</v>
      </c>
      <c r="AU173" s="68">
        <f t="shared" si="13"/>
        <v>3</v>
      </c>
      <c r="AV173" s="19">
        <f t="shared" si="14"/>
        <v>3.5696916447008125E-3</v>
      </c>
      <c r="AW173" s="69">
        <f t="shared" si="15"/>
        <v>0</v>
      </c>
      <c r="AY173" s="65">
        <f t="shared" si="16"/>
        <v>0</v>
      </c>
      <c r="AZ173" s="16">
        <f t="shared" si="17"/>
        <v>1</v>
      </c>
      <c r="BA173" s="16">
        <f t="shared" si="18"/>
        <v>0</v>
      </c>
      <c r="BB173" s="70">
        <f t="shared" si="19"/>
        <v>0</v>
      </c>
      <c r="BC173" s="67">
        <f t="shared" si="20"/>
        <v>0</v>
      </c>
      <c r="BD173" s="71">
        <f t="shared" si="21"/>
        <v>0</v>
      </c>
      <c r="BE173" s="19">
        <f t="shared" si="22"/>
        <v>0</v>
      </c>
      <c r="BF173" s="69">
        <f t="shared" si="23"/>
        <v>0</v>
      </c>
      <c r="BH173" s="72">
        <f t="shared" si="24"/>
        <v>24440.09</v>
      </c>
      <c r="BI173" s="73">
        <f t="shared" si="25"/>
        <v>1</v>
      </c>
      <c r="BJ173" s="74">
        <f t="shared" si="26"/>
        <v>2.1727707389412087E-3</v>
      </c>
      <c r="BK173" s="75">
        <f t="shared" si="27"/>
        <v>0</v>
      </c>
      <c r="BM173" s="76">
        <f t="shared" si="28"/>
        <v>1</v>
      </c>
    </row>
    <row r="174" spans="1:65" ht="12.75" customHeight="1" x14ac:dyDescent="0.2">
      <c r="A174" s="47"/>
      <c r="B174" s="48" t="s">
        <v>358</v>
      </c>
      <c r="C174" s="49">
        <v>25300</v>
      </c>
      <c r="D174" s="50">
        <v>13</v>
      </c>
      <c r="E174" s="49">
        <v>23026.61</v>
      </c>
      <c r="F174" s="50" t="s">
        <v>55</v>
      </c>
      <c r="G174" s="51">
        <v>42732</v>
      </c>
      <c r="H174" s="52" t="s">
        <v>56</v>
      </c>
      <c r="I174" s="51">
        <v>43374</v>
      </c>
      <c r="J174" s="52">
        <f t="shared" si="0"/>
        <v>21.4</v>
      </c>
      <c r="K174" s="53" t="s">
        <v>359</v>
      </c>
      <c r="L174" s="53">
        <v>31084.87</v>
      </c>
      <c r="M174" s="54">
        <v>350.52</v>
      </c>
      <c r="N174" s="54">
        <v>4406</v>
      </c>
      <c r="O174" s="54">
        <v>2421.8200000000002</v>
      </c>
      <c r="P174" s="54">
        <f t="shared" si="42"/>
        <v>0</v>
      </c>
      <c r="Q174" s="54">
        <f t="shared" si="34"/>
        <v>0</v>
      </c>
      <c r="R174" s="55">
        <f t="shared" si="3"/>
        <v>0</v>
      </c>
      <c r="S174" s="55">
        <f t="shared" si="4"/>
        <v>1</v>
      </c>
      <c r="T174" s="56"/>
      <c r="V174" s="57">
        <v>184</v>
      </c>
      <c r="W174" s="58"/>
      <c r="X174" s="58">
        <v>12.88</v>
      </c>
      <c r="Y174" s="58"/>
      <c r="Z174" s="58">
        <f>86.94+158.93+91.77</f>
        <v>337.64</v>
      </c>
      <c r="AA174" s="58"/>
      <c r="AB174" s="58">
        <f t="shared" si="37"/>
        <v>534.52</v>
      </c>
      <c r="AC174" s="58"/>
      <c r="AD174" s="59">
        <v>0</v>
      </c>
      <c r="AE174" s="60">
        <f t="shared" si="58"/>
        <v>0</v>
      </c>
      <c r="AF174" s="61"/>
      <c r="AG174" s="59"/>
      <c r="AH174" s="60">
        <f t="shared" si="59"/>
        <v>0</v>
      </c>
      <c r="AI174" s="62"/>
      <c r="AJ174" s="62">
        <f t="shared" si="6"/>
        <v>0</v>
      </c>
      <c r="AK174" s="63">
        <f t="shared" si="40"/>
        <v>0</v>
      </c>
      <c r="AL174" s="64">
        <f t="shared" si="41"/>
        <v>350.52</v>
      </c>
      <c r="AP174" s="65">
        <f t="shared" si="8"/>
        <v>1</v>
      </c>
      <c r="AQ174" s="16">
        <f t="shared" si="9"/>
        <v>1</v>
      </c>
      <c r="AR174" s="16">
        <f t="shared" si="10"/>
        <v>1</v>
      </c>
      <c r="AS174" s="66">
        <f t="shared" si="11"/>
        <v>6827.82</v>
      </c>
      <c r="AT174" s="67">
        <f t="shared" si="12"/>
        <v>23026.61</v>
      </c>
      <c r="AU174" s="68">
        <f t="shared" si="13"/>
        <v>21.4</v>
      </c>
      <c r="AV174" s="19">
        <f t="shared" si="14"/>
        <v>3.3632403695233602E-3</v>
      </c>
      <c r="AW174" s="69">
        <f t="shared" si="15"/>
        <v>0</v>
      </c>
      <c r="AY174" s="65">
        <f t="shared" si="16"/>
        <v>0</v>
      </c>
      <c r="AZ174" s="16">
        <f t="shared" si="17"/>
        <v>1</v>
      </c>
      <c r="BA174" s="16">
        <f t="shared" si="18"/>
        <v>0</v>
      </c>
      <c r="BB174" s="70">
        <f t="shared" si="19"/>
        <v>0</v>
      </c>
      <c r="BC174" s="67">
        <f t="shared" si="20"/>
        <v>0</v>
      </c>
      <c r="BD174" s="71">
        <f t="shared" si="21"/>
        <v>0</v>
      </c>
      <c r="BE174" s="19">
        <f t="shared" si="22"/>
        <v>0</v>
      </c>
      <c r="BF174" s="69">
        <f t="shared" si="23"/>
        <v>0</v>
      </c>
      <c r="BH174" s="72">
        <f t="shared" si="24"/>
        <v>23026.61</v>
      </c>
      <c r="BI174" s="73">
        <f t="shared" si="25"/>
        <v>1</v>
      </c>
      <c r="BJ174" s="74">
        <f t="shared" si="26"/>
        <v>2.0471096638764842E-3</v>
      </c>
      <c r="BK174" s="75">
        <f t="shared" si="27"/>
        <v>0</v>
      </c>
      <c r="BM174" s="76">
        <f t="shared" si="28"/>
        <v>1</v>
      </c>
    </row>
    <row r="175" spans="1:65" ht="12.75" customHeight="1" x14ac:dyDescent="0.2">
      <c r="A175" s="47"/>
      <c r="B175" s="48" t="s">
        <v>360</v>
      </c>
      <c r="C175" s="49">
        <v>15003.09</v>
      </c>
      <c r="D175" s="50">
        <v>13</v>
      </c>
      <c r="E175" s="49">
        <v>10330.780000000001</v>
      </c>
      <c r="F175" s="50" t="s">
        <v>55</v>
      </c>
      <c r="G175" s="51">
        <v>42883</v>
      </c>
      <c r="H175" s="52" t="s">
        <v>56</v>
      </c>
      <c r="I175" s="51">
        <v>43190</v>
      </c>
      <c r="J175" s="52">
        <f t="shared" si="0"/>
        <v>10.233333333333333</v>
      </c>
      <c r="K175" s="53" t="s">
        <v>361</v>
      </c>
      <c r="L175" s="53">
        <v>36500</v>
      </c>
      <c r="M175" s="54">
        <v>599.02</v>
      </c>
      <c r="N175" s="54">
        <v>2434.4499999999998</v>
      </c>
      <c r="O175" s="54">
        <v>4310.59</v>
      </c>
      <c r="P175" s="54">
        <f t="shared" si="42"/>
        <v>0</v>
      </c>
      <c r="Q175" s="54">
        <f t="shared" si="34"/>
        <v>0</v>
      </c>
      <c r="R175" s="55">
        <f t="shared" si="3"/>
        <v>0</v>
      </c>
      <c r="S175" s="55">
        <f t="shared" si="4"/>
        <v>1</v>
      </c>
      <c r="T175" s="56"/>
      <c r="V175" s="57">
        <v>309.69</v>
      </c>
      <c r="W175" s="58"/>
      <c r="X175" s="58">
        <v>21.68</v>
      </c>
      <c r="Y175" s="58"/>
      <c r="Z175" s="58">
        <f>67.23+136.62+55.08</f>
        <v>258.93</v>
      </c>
      <c r="AA175" s="58">
        <v>1432.87</v>
      </c>
      <c r="AB175" s="58">
        <f t="shared" si="37"/>
        <v>2023.17</v>
      </c>
      <c r="AC175" s="58"/>
      <c r="AD175" s="59">
        <v>6.25E-2</v>
      </c>
      <c r="AE175" s="60">
        <f t="shared" si="58"/>
        <v>318.41445205479454</v>
      </c>
      <c r="AF175" s="61"/>
      <c r="AG175" s="59"/>
      <c r="AH175" s="60">
        <f t="shared" si="59"/>
        <v>0</v>
      </c>
      <c r="AI175" s="62"/>
      <c r="AJ175" s="62">
        <f t="shared" si="6"/>
        <v>318.41445205479454</v>
      </c>
      <c r="AK175" s="63">
        <f t="shared" si="40"/>
        <v>318.41445205479454</v>
      </c>
      <c r="AL175" s="64">
        <f t="shared" si="41"/>
        <v>599.02445205479455</v>
      </c>
      <c r="AP175" s="65">
        <f t="shared" si="8"/>
        <v>1</v>
      </c>
      <c r="AQ175" s="16">
        <f t="shared" si="9"/>
        <v>1</v>
      </c>
      <c r="AR175" s="16">
        <f t="shared" si="10"/>
        <v>1</v>
      </c>
      <c r="AS175" s="66">
        <f t="shared" si="11"/>
        <v>6745.04</v>
      </c>
      <c r="AT175" s="67">
        <f t="shared" si="12"/>
        <v>10330.780000000001</v>
      </c>
      <c r="AU175" s="68">
        <f t="shared" si="13"/>
        <v>10.233333333333333</v>
      </c>
      <c r="AV175" s="19">
        <f t="shared" si="14"/>
        <v>1.5089019332270161E-3</v>
      </c>
      <c r="AW175" s="69">
        <f t="shared" si="15"/>
        <v>0</v>
      </c>
      <c r="AY175" s="65">
        <f t="shared" si="16"/>
        <v>0</v>
      </c>
      <c r="AZ175" s="16">
        <f t="shared" si="17"/>
        <v>1</v>
      </c>
      <c r="BA175" s="16">
        <f t="shared" si="18"/>
        <v>0</v>
      </c>
      <c r="BB175" s="70">
        <f t="shared" si="19"/>
        <v>0</v>
      </c>
      <c r="BC175" s="67">
        <f t="shared" si="20"/>
        <v>0</v>
      </c>
      <c r="BD175" s="71">
        <f t="shared" si="21"/>
        <v>0</v>
      </c>
      <c r="BE175" s="19">
        <f t="shared" si="22"/>
        <v>0</v>
      </c>
      <c r="BF175" s="69">
        <f t="shared" si="23"/>
        <v>0</v>
      </c>
      <c r="BH175" s="72">
        <f t="shared" si="24"/>
        <v>10330.780000000001</v>
      </c>
      <c r="BI175" s="73">
        <f t="shared" si="25"/>
        <v>1</v>
      </c>
      <c r="BJ175" s="74">
        <f t="shared" si="26"/>
        <v>9.1842609803969883E-4</v>
      </c>
      <c r="BK175" s="75">
        <f t="shared" si="27"/>
        <v>0</v>
      </c>
      <c r="BM175" s="76">
        <f t="shared" si="28"/>
        <v>1</v>
      </c>
    </row>
    <row r="176" spans="1:65" ht="12.75" customHeight="1" x14ac:dyDescent="0.2">
      <c r="A176" s="47"/>
      <c r="B176" s="48" t="s">
        <v>362</v>
      </c>
      <c r="C176" s="49">
        <v>16569.47</v>
      </c>
      <c r="D176" s="50">
        <v>13</v>
      </c>
      <c r="E176" s="49">
        <v>12794.48</v>
      </c>
      <c r="F176" s="50" t="s">
        <v>55</v>
      </c>
      <c r="G176" s="51">
        <v>42914</v>
      </c>
      <c r="H176" s="52" t="s">
        <v>56</v>
      </c>
      <c r="I176" s="51">
        <v>42944</v>
      </c>
      <c r="J176" s="52">
        <f t="shared" si="0"/>
        <v>1</v>
      </c>
      <c r="K176" s="53" t="s">
        <v>363</v>
      </c>
      <c r="L176" s="53">
        <v>38000</v>
      </c>
      <c r="M176" s="54">
        <v>851.09</v>
      </c>
      <c r="N176" s="54">
        <v>3130.56</v>
      </c>
      <c r="O176" s="54">
        <v>3487.92</v>
      </c>
      <c r="P176" s="54">
        <f t="shared" si="42"/>
        <v>0</v>
      </c>
      <c r="Q176" s="54">
        <f t="shared" si="34"/>
        <v>0</v>
      </c>
      <c r="R176" s="55">
        <f t="shared" si="3"/>
        <v>0</v>
      </c>
      <c r="S176" s="55">
        <f t="shared" si="4"/>
        <v>1</v>
      </c>
      <c r="T176" s="56"/>
      <c r="V176" s="57">
        <v>189.75</v>
      </c>
      <c r="W176" s="58">
        <v>11.5</v>
      </c>
      <c r="X176" s="58">
        <v>14.09</v>
      </c>
      <c r="Y176" s="58"/>
      <c r="Z176" s="58">
        <f>51.75+296.47+67.16</f>
        <v>415.38</v>
      </c>
      <c r="AA176" s="58">
        <v>1961.47</v>
      </c>
      <c r="AB176" s="58">
        <f t="shared" si="37"/>
        <v>2592.19</v>
      </c>
      <c r="AC176" s="58"/>
      <c r="AD176" s="59">
        <v>6.5000000000000002E-2</v>
      </c>
      <c r="AE176" s="60">
        <f t="shared" si="58"/>
        <v>410.12442739726032</v>
      </c>
      <c r="AF176" s="61"/>
      <c r="AG176" s="59"/>
      <c r="AH176" s="60">
        <f t="shared" si="59"/>
        <v>0</v>
      </c>
      <c r="AI176" s="62"/>
      <c r="AJ176" s="62">
        <f t="shared" si="6"/>
        <v>410.12442739726032</v>
      </c>
      <c r="AK176" s="63">
        <f t="shared" si="40"/>
        <v>410.12442739726032</v>
      </c>
      <c r="AL176" s="64">
        <f t="shared" si="41"/>
        <v>851.09442739726023</v>
      </c>
      <c r="AP176" s="65">
        <f t="shared" si="8"/>
        <v>1</v>
      </c>
      <c r="AQ176" s="16">
        <f t="shared" si="9"/>
        <v>1</v>
      </c>
      <c r="AR176" s="16">
        <f t="shared" si="10"/>
        <v>1</v>
      </c>
      <c r="AS176" s="66">
        <f t="shared" si="11"/>
        <v>6618.48</v>
      </c>
      <c r="AT176" s="67">
        <f t="shared" si="12"/>
        <v>12794.48</v>
      </c>
      <c r="AU176" s="68">
        <f t="shared" si="13"/>
        <v>1</v>
      </c>
      <c r="AV176" s="19">
        <f t="shared" si="14"/>
        <v>1.8687471426779383E-3</v>
      </c>
      <c r="AW176" s="69">
        <f t="shared" si="15"/>
        <v>0</v>
      </c>
      <c r="AY176" s="65">
        <f t="shared" si="16"/>
        <v>0</v>
      </c>
      <c r="AZ176" s="16">
        <f t="shared" si="17"/>
        <v>1</v>
      </c>
      <c r="BA176" s="16">
        <f t="shared" si="18"/>
        <v>0</v>
      </c>
      <c r="BB176" s="70">
        <f t="shared" si="19"/>
        <v>0</v>
      </c>
      <c r="BC176" s="67">
        <f t="shared" si="20"/>
        <v>0</v>
      </c>
      <c r="BD176" s="71">
        <f t="shared" si="21"/>
        <v>0</v>
      </c>
      <c r="BE176" s="19">
        <f t="shared" si="22"/>
        <v>0</v>
      </c>
      <c r="BF176" s="69">
        <f t="shared" si="23"/>
        <v>0</v>
      </c>
      <c r="BH176" s="72">
        <f t="shared" si="24"/>
        <v>12794.48</v>
      </c>
      <c r="BI176" s="73">
        <f t="shared" si="25"/>
        <v>1</v>
      </c>
      <c r="BJ176" s="74">
        <f t="shared" si="26"/>
        <v>1.1374537394898512E-3</v>
      </c>
      <c r="BK176" s="75">
        <f t="shared" si="27"/>
        <v>0</v>
      </c>
      <c r="BM176" s="76">
        <f t="shared" si="28"/>
        <v>1</v>
      </c>
    </row>
    <row r="177" spans="1:65" ht="12.75" customHeight="1" x14ac:dyDescent="0.2">
      <c r="A177" s="47"/>
      <c r="B177" s="48" t="s">
        <v>364</v>
      </c>
      <c r="C177" s="49">
        <v>24300</v>
      </c>
      <c r="D177" s="50">
        <v>13</v>
      </c>
      <c r="E177" s="49">
        <v>20908.189999999999</v>
      </c>
      <c r="F177" s="50" t="s">
        <v>55</v>
      </c>
      <c r="G177" s="51">
        <v>42914</v>
      </c>
      <c r="H177" s="52" t="s">
        <v>56</v>
      </c>
      <c r="I177" s="51">
        <v>42948</v>
      </c>
      <c r="J177" s="52">
        <f t="shared" si="0"/>
        <v>1.1333333333333333</v>
      </c>
      <c r="K177" s="53" t="s">
        <v>365</v>
      </c>
      <c r="L177" s="53">
        <v>55000</v>
      </c>
      <c r="M177" s="54">
        <v>1013.35</v>
      </c>
      <c r="N177" s="54">
        <v>3081.06</v>
      </c>
      <c r="O177" s="54">
        <v>105</v>
      </c>
      <c r="P177" s="54">
        <f t="shared" si="42"/>
        <v>0</v>
      </c>
      <c r="Q177" s="54">
        <f t="shared" si="34"/>
        <v>0</v>
      </c>
      <c r="R177" s="55">
        <f t="shared" si="3"/>
        <v>0</v>
      </c>
      <c r="S177" s="55">
        <f t="shared" si="4"/>
        <v>1</v>
      </c>
      <c r="T177" s="56"/>
      <c r="V177" s="57">
        <v>114.75</v>
      </c>
      <c r="W177" s="58"/>
      <c r="X177" s="58">
        <v>8.0299999999999994</v>
      </c>
      <c r="Y177" s="58"/>
      <c r="Z177" s="58">
        <f>61.03+222.53</f>
        <v>283.56</v>
      </c>
      <c r="AA177" s="58">
        <f>1386.49+786.81</f>
        <v>2173.3000000000002</v>
      </c>
      <c r="AB177" s="58">
        <f t="shared" si="37"/>
        <v>2579.6400000000003</v>
      </c>
      <c r="AC177" s="58">
        <v>13338.69</v>
      </c>
      <c r="AD177" s="59">
        <v>7.0000000000000007E-2</v>
      </c>
      <c r="AE177" s="60">
        <f t="shared" ref="AE177:AE178" si="60">((AC177*AD177)/365)*180</f>
        <v>460.4588876712329</v>
      </c>
      <c r="AF177" s="61">
        <v>7569.5</v>
      </c>
      <c r="AG177" s="59">
        <v>7.0000000000000007E-2</v>
      </c>
      <c r="AH177" s="60">
        <f t="shared" ref="AH177:AH178" si="61">((AF177*AG177)/365)*180</f>
        <v>261.30328767123291</v>
      </c>
      <c r="AI177" s="62">
        <f t="shared" ref="AI177:AI178" si="62">AC177+AF177</f>
        <v>20908.190000000002</v>
      </c>
      <c r="AJ177" s="62">
        <f t="shared" si="6"/>
        <v>721.76217534246575</v>
      </c>
      <c r="AK177" s="63">
        <f t="shared" si="40"/>
        <v>721.76217534246575</v>
      </c>
      <c r="AL177" s="64">
        <f t="shared" si="41"/>
        <v>1013.3521753424657</v>
      </c>
      <c r="AP177" s="65">
        <f t="shared" si="8"/>
        <v>1</v>
      </c>
      <c r="AQ177" s="16">
        <f t="shared" si="9"/>
        <v>1</v>
      </c>
      <c r="AR177" s="16">
        <f t="shared" si="10"/>
        <v>1</v>
      </c>
      <c r="AS177" s="66">
        <f t="shared" si="11"/>
        <v>3186.06</v>
      </c>
      <c r="AT177" s="67">
        <f t="shared" si="12"/>
        <v>20908.189999999999</v>
      </c>
      <c r="AU177" s="68">
        <f t="shared" si="13"/>
        <v>1.1333333333333333</v>
      </c>
      <c r="AV177" s="19">
        <f t="shared" si="14"/>
        <v>3.0538263627023091E-3</v>
      </c>
      <c r="AW177" s="69">
        <f t="shared" si="15"/>
        <v>0</v>
      </c>
      <c r="AY177" s="65">
        <f t="shared" si="16"/>
        <v>0</v>
      </c>
      <c r="AZ177" s="16">
        <f t="shared" si="17"/>
        <v>1</v>
      </c>
      <c r="BA177" s="16">
        <f t="shared" si="18"/>
        <v>0</v>
      </c>
      <c r="BB177" s="70">
        <f t="shared" si="19"/>
        <v>0</v>
      </c>
      <c r="BC177" s="67">
        <f t="shared" si="20"/>
        <v>0</v>
      </c>
      <c r="BD177" s="71">
        <f t="shared" si="21"/>
        <v>0</v>
      </c>
      <c r="BE177" s="19">
        <f t="shared" si="22"/>
        <v>0</v>
      </c>
      <c r="BF177" s="69">
        <f t="shared" si="23"/>
        <v>0</v>
      </c>
      <c r="BH177" s="72">
        <f t="shared" si="24"/>
        <v>20908.189999999999</v>
      </c>
      <c r="BI177" s="73">
        <f t="shared" si="25"/>
        <v>1</v>
      </c>
      <c r="BJ177" s="74">
        <f t="shared" si="26"/>
        <v>1.8587780747216229E-3</v>
      </c>
      <c r="BK177" s="75">
        <f t="shared" si="27"/>
        <v>0</v>
      </c>
      <c r="BM177" s="76">
        <f t="shared" si="28"/>
        <v>1</v>
      </c>
    </row>
    <row r="178" spans="1:65" ht="12.75" customHeight="1" x14ac:dyDescent="0.2">
      <c r="A178" s="47"/>
      <c r="B178" s="48" t="s">
        <v>366</v>
      </c>
      <c r="C178" s="49">
        <v>19000</v>
      </c>
      <c r="D178" s="50">
        <v>13</v>
      </c>
      <c r="E178" s="49">
        <v>16687.12</v>
      </c>
      <c r="F178" s="50" t="s">
        <v>55</v>
      </c>
      <c r="G178" s="51">
        <v>42914</v>
      </c>
      <c r="H178" s="52" t="s">
        <v>56</v>
      </c>
      <c r="I178" s="51">
        <v>42978</v>
      </c>
      <c r="J178" s="52">
        <f t="shared" si="0"/>
        <v>2.1333333333333333</v>
      </c>
      <c r="K178" s="53" t="s">
        <v>367</v>
      </c>
      <c r="L178" s="53">
        <v>45000</v>
      </c>
      <c r="M178" s="54">
        <v>923.09</v>
      </c>
      <c r="N178" s="54">
        <v>2860.96</v>
      </c>
      <c r="O178" s="54">
        <v>3094.56</v>
      </c>
      <c r="P178" s="54">
        <f t="shared" si="42"/>
        <v>0</v>
      </c>
      <c r="Q178" s="54">
        <f t="shared" si="34"/>
        <v>0</v>
      </c>
      <c r="R178" s="55">
        <f t="shared" si="3"/>
        <v>0</v>
      </c>
      <c r="S178" s="55">
        <f t="shared" si="4"/>
        <v>1</v>
      </c>
      <c r="T178" s="56"/>
      <c r="V178" s="57">
        <v>108</v>
      </c>
      <c r="W178" s="58"/>
      <c r="X178" s="58">
        <v>7.56</v>
      </c>
      <c r="Y178" s="58">
        <v>84.6</v>
      </c>
      <c r="Z178" s="58">
        <f>47.88+88.02+40.14+30.24+27.72</f>
        <v>234.00000000000003</v>
      </c>
      <c r="AA178" s="58">
        <f>1215.58+697.09</f>
        <v>1912.67</v>
      </c>
      <c r="AB178" s="58">
        <f t="shared" si="37"/>
        <v>2346.83</v>
      </c>
      <c r="AC178" s="58">
        <v>11041.74</v>
      </c>
      <c r="AD178" s="59">
        <v>7.0000000000000007E-2</v>
      </c>
      <c r="AE178" s="60">
        <f t="shared" si="60"/>
        <v>381.16691506849321</v>
      </c>
      <c r="AF178" s="61">
        <v>5645.38</v>
      </c>
      <c r="AG178" s="59">
        <v>7.7499999999999999E-2</v>
      </c>
      <c r="AH178" s="60">
        <f t="shared" si="61"/>
        <v>215.76178356164382</v>
      </c>
      <c r="AI178" s="62">
        <f t="shared" si="62"/>
        <v>16687.12</v>
      </c>
      <c r="AJ178" s="62">
        <f t="shared" si="6"/>
        <v>596.92869863013698</v>
      </c>
      <c r="AK178" s="63">
        <f t="shared" si="40"/>
        <v>596.92869863013698</v>
      </c>
      <c r="AL178" s="64">
        <f t="shared" si="41"/>
        <v>923.08869863013706</v>
      </c>
      <c r="AP178" s="65">
        <f t="shared" si="8"/>
        <v>1</v>
      </c>
      <c r="AQ178" s="16">
        <f t="shared" si="9"/>
        <v>1</v>
      </c>
      <c r="AR178" s="16">
        <f t="shared" si="10"/>
        <v>1</v>
      </c>
      <c r="AS178" s="66">
        <f t="shared" si="11"/>
        <v>5955.52</v>
      </c>
      <c r="AT178" s="67">
        <f t="shared" si="12"/>
        <v>16687.12</v>
      </c>
      <c r="AU178" s="68">
        <f t="shared" si="13"/>
        <v>2.1333333333333333</v>
      </c>
      <c r="AV178" s="19">
        <f t="shared" si="14"/>
        <v>2.4373016972572448E-3</v>
      </c>
      <c r="AW178" s="69">
        <f t="shared" si="15"/>
        <v>0</v>
      </c>
      <c r="AY178" s="65">
        <f t="shared" si="16"/>
        <v>0</v>
      </c>
      <c r="AZ178" s="16">
        <f t="shared" si="17"/>
        <v>1</v>
      </c>
      <c r="BA178" s="16">
        <f t="shared" si="18"/>
        <v>0</v>
      </c>
      <c r="BB178" s="70">
        <f t="shared" si="19"/>
        <v>0</v>
      </c>
      <c r="BC178" s="67">
        <f t="shared" si="20"/>
        <v>0</v>
      </c>
      <c r="BD178" s="71">
        <f t="shared" si="21"/>
        <v>0</v>
      </c>
      <c r="BE178" s="19">
        <f t="shared" si="22"/>
        <v>0</v>
      </c>
      <c r="BF178" s="69">
        <f t="shared" si="23"/>
        <v>0</v>
      </c>
      <c r="BH178" s="72">
        <f t="shared" si="24"/>
        <v>16687.12</v>
      </c>
      <c r="BI178" s="73">
        <f t="shared" si="25"/>
        <v>1</v>
      </c>
      <c r="BJ178" s="74">
        <f t="shared" si="26"/>
        <v>1.4835168795696179E-3</v>
      </c>
      <c r="BK178" s="75">
        <f t="shared" si="27"/>
        <v>0</v>
      </c>
      <c r="BM178" s="76">
        <f t="shared" si="28"/>
        <v>1</v>
      </c>
    </row>
    <row r="179" spans="1:65" ht="12.75" customHeight="1" x14ac:dyDescent="0.2">
      <c r="A179" s="47"/>
      <c r="B179" s="48" t="s">
        <v>368</v>
      </c>
      <c r="C179" s="49">
        <v>23560</v>
      </c>
      <c r="D179" s="50">
        <v>13</v>
      </c>
      <c r="E179" s="49">
        <v>19344.669999999998</v>
      </c>
      <c r="F179" s="50" t="s">
        <v>63</v>
      </c>
      <c r="G179" s="51">
        <v>42948</v>
      </c>
      <c r="H179" s="52" t="s">
        <v>56</v>
      </c>
      <c r="I179" s="51">
        <v>43006</v>
      </c>
      <c r="J179" s="52">
        <f t="shared" si="0"/>
        <v>1.9333333333333333</v>
      </c>
      <c r="K179" s="53" t="s">
        <v>369</v>
      </c>
      <c r="L179" s="53">
        <v>52000</v>
      </c>
      <c r="M179" s="54">
        <v>1104.22</v>
      </c>
      <c r="N179" s="54">
        <v>8315.11</v>
      </c>
      <c r="O179" s="54">
        <v>3175.76</v>
      </c>
      <c r="P179" s="54">
        <f t="shared" si="42"/>
        <v>0</v>
      </c>
      <c r="Q179" s="54">
        <f t="shared" si="34"/>
        <v>0</v>
      </c>
      <c r="R179" s="55">
        <f t="shared" si="3"/>
        <v>0</v>
      </c>
      <c r="S179" s="55">
        <f t="shared" si="4"/>
        <v>1</v>
      </c>
      <c r="T179" s="56"/>
      <c r="V179" s="57">
        <v>352.8</v>
      </c>
      <c r="W179" s="58"/>
      <c r="X179" s="58">
        <v>24.7</v>
      </c>
      <c r="Y179" s="58"/>
      <c r="Z179" s="58">
        <f>138.6+562.8+187.32</f>
        <v>888.72</v>
      </c>
      <c r="AA179" s="58">
        <v>2458.1</v>
      </c>
      <c r="AB179" s="58">
        <f t="shared" si="37"/>
        <v>3724.3199999999997</v>
      </c>
      <c r="AC179" s="58"/>
      <c r="AD179" s="59">
        <v>0.02</v>
      </c>
      <c r="AE179" s="60">
        <f t="shared" ref="AE179:AE190" si="63">((E179*AD179)/365)*180</f>
        <v>190.79674520547943</v>
      </c>
      <c r="AF179" s="61"/>
      <c r="AG179" s="59"/>
      <c r="AH179" s="60">
        <f t="shared" ref="AH179:AH190" si="64">((E179*AG179)/365)*180</f>
        <v>0</v>
      </c>
      <c r="AI179" s="62"/>
      <c r="AJ179" s="62">
        <f t="shared" si="6"/>
        <v>190.79674520547943</v>
      </c>
      <c r="AK179" s="63">
        <f t="shared" si="40"/>
        <v>190.79674520547943</v>
      </c>
      <c r="AL179" s="64">
        <f t="shared" si="41"/>
        <v>1104.2167452054796</v>
      </c>
      <c r="AP179" s="65">
        <f t="shared" si="8"/>
        <v>0</v>
      </c>
      <c r="AQ179" s="16">
        <f t="shared" si="9"/>
        <v>1</v>
      </c>
      <c r="AR179" s="16">
        <f t="shared" si="10"/>
        <v>0</v>
      </c>
      <c r="AS179" s="66">
        <f t="shared" si="11"/>
        <v>0</v>
      </c>
      <c r="AT179" s="67">
        <f t="shared" si="12"/>
        <v>0</v>
      </c>
      <c r="AU179" s="68">
        <f t="shared" si="13"/>
        <v>0</v>
      </c>
      <c r="AV179" s="19">
        <f t="shared" si="14"/>
        <v>0</v>
      </c>
      <c r="AW179" s="69">
        <f t="shared" si="15"/>
        <v>0</v>
      </c>
      <c r="AY179" s="65">
        <f t="shared" si="16"/>
        <v>1</v>
      </c>
      <c r="AZ179" s="16">
        <f t="shared" si="17"/>
        <v>1</v>
      </c>
      <c r="BA179" s="16">
        <f t="shared" si="18"/>
        <v>1</v>
      </c>
      <c r="BB179" s="70">
        <f t="shared" si="19"/>
        <v>11490.87</v>
      </c>
      <c r="BC179" s="67">
        <f t="shared" si="20"/>
        <v>19344.669999999998</v>
      </c>
      <c r="BD179" s="71">
        <f t="shared" si="21"/>
        <v>1.9333333333333333</v>
      </c>
      <c r="BE179" s="19">
        <f t="shared" si="22"/>
        <v>4.3947210550720059E-3</v>
      </c>
      <c r="BF179" s="69">
        <f t="shared" si="23"/>
        <v>0</v>
      </c>
      <c r="BH179" s="72">
        <f t="shared" si="24"/>
        <v>19344.669999999998</v>
      </c>
      <c r="BI179" s="73">
        <f t="shared" si="25"/>
        <v>1</v>
      </c>
      <c r="BJ179" s="74">
        <f t="shared" si="26"/>
        <v>1.719778156728303E-3</v>
      </c>
      <c r="BK179" s="75">
        <f t="shared" si="27"/>
        <v>0</v>
      </c>
      <c r="BM179" s="76">
        <f t="shared" si="28"/>
        <v>1</v>
      </c>
    </row>
    <row r="180" spans="1:65" ht="12.75" customHeight="1" x14ac:dyDescent="0.2">
      <c r="A180" s="47"/>
      <c r="B180" s="48" t="s">
        <v>370</v>
      </c>
      <c r="C180" s="49">
        <v>34155</v>
      </c>
      <c r="D180" s="50">
        <v>13</v>
      </c>
      <c r="E180" s="49">
        <v>26259.55</v>
      </c>
      <c r="F180" s="50" t="s">
        <v>55</v>
      </c>
      <c r="G180" s="51">
        <v>42979</v>
      </c>
      <c r="H180" s="52" t="s">
        <v>56</v>
      </c>
      <c r="I180" s="51">
        <v>43067</v>
      </c>
      <c r="J180" s="52">
        <f t="shared" si="0"/>
        <v>2.9333333333333331</v>
      </c>
      <c r="K180" s="53" t="s">
        <v>371</v>
      </c>
      <c r="L180" s="53">
        <v>90000</v>
      </c>
      <c r="M180" s="54">
        <v>1523.14</v>
      </c>
      <c r="N180" s="54">
        <v>4009.56</v>
      </c>
      <c r="O180" s="54">
        <v>5211.91</v>
      </c>
      <c r="P180" s="54">
        <f t="shared" si="42"/>
        <v>0</v>
      </c>
      <c r="Q180" s="54">
        <f t="shared" si="34"/>
        <v>0</v>
      </c>
      <c r="R180" s="55">
        <f t="shared" si="3"/>
        <v>0</v>
      </c>
      <c r="S180" s="55">
        <f t="shared" si="4"/>
        <v>1</v>
      </c>
      <c r="T180" s="56"/>
      <c r="V180" s="57">
        <v>195.35</v>
      </c>
      <c r="W180" s="58">
        <v>71.19</v>
      </c>
      <c r="X180" s="58">
        <v>18.649999999999999</v>
      </c>
      <c r="Y180" s="58"/>
      <c r="Z180" s="58">
        <f>105.57+351.44+134.55</f>
        <v>591.55999999999995</v>
      </c>
      <c r="AA180" s="58">
        <v>3860.15</v>
      </c>
      <c r="AB180" s="58">
        <f t="shared" si="37"/>
        <v>4736.8999999999996</v>
      </c>
      <c r="AC180" s="58"/>
      <c r="AD180" s="59">
        <v>6.5000000000000002E-2</v>
      </c>
      <c r="AE180" s="60">
        <f t="shared" si="63"/>
        <v>841.74447945205486</v>
      </c>
      <c r="AF180" s="61"/>
      <c r="AG180" s="59"/>
      <c r="AH180" s="60">
        <f t="shared" si="64"/>
        <v>0</v>
      </c>
      <c r="AI180" s="62"/>
      <c r="AJ180" s="62">
        <f t="shared" si="6"/>
        <v>841.74447945205486</v>
      </c>
      <c r="AK180" s="63">
        <f t="shared" si="40"/>
        <v>841.74447945205486</v>
      </c>
      <c r="AL180" s="64">
        <f t="shared" si="41"/>
        <v>1523.1444794520548</v>
      </c>
      <c r="AP180" s="65">
        <f t="shared" si="8"/>
        <v>1</v>
      </c>
      <c r="AQ180" s="16">
        <f t="shared" si="9"/>
        <v>1</v>
      </c>
      <c r="AR180" s="16">
        <f t="shared" si="10"/>
        <v>1</v>
      </c>
      <c r="AS180" s="66">
        <f t="shared" si="11"/>
        <v>9221.4699999999993</v>
      </c>
      <c r="AT180" s="67">
        <f t="shared" si="12"/>
        <v>26259.55</v>
      </c>
      <c r="AU180" s="68">
        <f t="shared" si="13"/>
        <v>2.9333333333333331</v>
      </c>
      <c r="AV180" s="19">
        <f t="shared" si="14"/>
        <v>3.8354398952132837E-3</v>
      </c>
      <c r="AW180" s="69">
        <f t="shared" si="15"/>
        <v>0</v>
      </c>
      <c r="AY180" s="65">
        <f t="shared" si="16"/>
        <v>0</v>
      </c>
      <c r="AZ180" s="16">
        <f t="shared" si="17"/>
        <v>1</v>
      </c>
      <c r="BA180" s="16">
        <f t="shared" si="18"/>
        <v>0</v>
      </c>
      <c r="BB180" s="70">
        <f t="shared" si="19"/>
        <v>0</v>
      </c>
      <c r="BC180" s="67">
        <f t="shared" si="20"/>
        <v>0</v>
      </c>
      <c r="BD180" s="71">
        <f t="shared" si="21"/>
        <v>0</v>
      </c>
      <c r="BE180" s="19">
        <f t="shared" si="22"/>
        <v>0</v>
      </c>
      <c r="BF180" s="69">
        <f t="shared" si="23"/>
        <v>0</v>
      </c>
      <c r="BH180" s="72">
        <f t="shared" si="24"/>
        <v>26259.55</v>
      </c>
      <c r="BI180" s="73">
        <f t="shared" si="25"/>
        <v>1</v>
      </c>
      <c r="BJ180" s="74">
        <f t="shared" si="26"/>
        <v>2.3345242123807078E-3</v>
      </c>
      <c r="BK180" s="75">
        <f t="shared" si="27"/>
        <v>0</v>
      </c>
      <c r="BM180" s="76">
        <f t="shared" si="28"/>
        <v>1</v>
      </c>
    </row>
    <row r="181" spans="1:65" ht="12.75" customHeight="1" x14ac:dyDescent="0.2">
      <c r="A181" s="47"/>
      <c r="B181" s="48" t="s">
        <v>372</v>
      </c>
      <c r="C181" s="49">
        <v>25634.2</v>
      </c>
      <c r="D181" s="50">
        <v>13</v>
      </c>
      <c r="E181" s="49">
        <v>21177.5</v>
      </c>
      <c r="F181" s="50" t="s">
        <v>55</v>
      </c>
      <c r="G181" s="51">
        <v>42979</v>
      </c>
      <c r="H181" s="52" t="s">
        <v>56</v>
      </c>
      <c r="I181" s="51">
        <v>43070</v>
      </c>
      <c r="J181" s="52">
        <f t="shared" si="0"/>
        <v>3.0333333333333332</v>
      </c>
      <c r="K181" s="53" t="s">
        <v>373</v>
      </c>
      <c r="L181" s="53">
        <v>36000</v>
      </c>
      <c r="M181" s="54">
        <v>644.1</v>
      </c>
      <c r="N181" s="54">
        <v>1880</v>
      </c>
      <c r="O181" s="54">
        <v>3405.13</v>
      </c>
      <c r="P181" s="54">
        <f t="shared" si="42"/>
        <v>0</v>
      </c>
      <c r="Q181" s="54">
        <f t="shared" si="34"/>
        <v>0</v>
      </c>
      <c r="R181" s="55">
        <f t="shared" si="3"/>
        <v>0</v>
      </c>
      <c r="S181" s="55">
        <f t="shared" si="4"/>
        <v>1</v>
      </c>
      <c r="T181" s="56"/>
      <c r="V181" s="57">
        <v>239.25</v>
      </c>
      <c r="W181" s="58"/>
      <c r="X181" s="58">
        <v>16.75</v>
      </c>
      <c r="Y181" s="58"/>
      <c r="Z181" s="58">
        <f>98.89+167.91+125.57</f>
        <v>392.37</v>
      </c>
      <c r="AA181" s="58">
        <v>1165.78</v>
      </c>
      <c r="AB181" s="58">
        <f t="shared" si="37"/>
        <v>1814.15</v>
      </c>
      <c r="AC181" s="58"/>
      <c r="AD181" s="59">
        <v>2.2499999999999999E-2</v>
      </c>
      <c r="AE181" s="60">
        <f t="shared" si="63"/>
        <v>234.98321917808218</v>
      </c>
      <c r="AF181" s="61"/>
      <c r="AG181" s="59"/>
      <c r="AH181" s="60">
        <f t="shared" si="64"/>
        <v>0</v>
      </c>
      <c r="AI181" s="62"/>
      <c r="AJ181" s="62">
        <f t="shared" si="6"/>
        <v>234.98321917808218</v>
      </c>
      <c r="AK181" s="63">
        <f t="shared" si="40"/>
        <v>234.98321917808218</v>
      </c>
      <c r="AL181" s="64">
        <f t="shared" si="41"/>
        <v>644.10321917808221</v>
      </c>
      <c r="AP181" s="65">
        <f t="shared" si="8"/>
        <v>1</v>
      </c>
      <c r="AQ181" s="16">
        <f t="shared" si="9"/>
        <v>1</v>
      </c>
      <c r="AR181" s="16">
        <f t="shared" si="10"/>
        <v>1</v>
      </c>
      <c r="AS181" s="66">
        <f t="shared" si="11"/>
        <v>5285.13</v>
      </c>
      <c r="AT181" s="67">
        <f t="shared" si="12"/>
        <v>21177.5</v>
      </c>
      <c r="AU181" s="68">
        <f t="shared" si="13"/>
        <v>3.0333333333333332</v>
      </c>
      <c r="AV181" s="19">
        <f t="shared" si="14"/>
        <v>3.0931614738591985E-3</v>
      </c>
      <c r="AW181" s="69">
        <f t="shared" si="15"/>
        <v>0</v>
      </c>
      <c r="AY181" s="65">
        <f t="shared" si="16"/>
        <v>0</v>
      </c>
      <c r="AZ181" s="16">
        <f t="shared" si="17"/>
        <v>1</v>
      </c>
      <c r="BA181" s="16">
        <f t="shared" si="18"/>
        <v>0</v>
      </c>
      <c r="BB181" s="70">
        <f t="shared" si="19"/>
        <v>0</v>
      </c>
      <c r="BC181" s="67">
        <f t="shared" si="20"/>
        <v>0</v>
      </c>
      <c r="BD181" s="71">
        <f t="shared" si="21"/>
        <v>0</v>
      </c>
      <c r="BE181" s="19">
        <f t="shared" si="22"/>
        <v>0</v>
      </c>
      <c r="BF181" s="69">
        <f t="shared" si="23"/>
        <v>0</v>
      </c>
      <c r="BH181" s="72">
        <f t="shared" si="24"/>
        <v>21177.5</v>
      </c>
      <c r="BI181" s="73">
        <f t="shared" si="25"/>
        <v>1</v>
      </c>
      <c r="BJ181" s="74">
        <f t="shared" si="26"/>
        <v>1.8827202487358863E-3</v>
      </c>
      <c r="BK181" s="75">
        <f t="shared" si="27"/>
        <v>0</v>
      </c>
      <c r="BM181" s="76">
        <f t="shared" si="28"/>
        <v>1</v>
      </c>
    </row>
    <row r="182" spans="1:65" ht="12.75" customHeight="1" x14ac:dyDescent="0.2">
      <c r="A182" s="47"/>
      <c r="B182" s="48" t="s">
        <v>374</v>
      </c>
      <c r="C182" s="49">
        <v>21517.65</v>
      </c>
      <c r="D182" s="50">
        <v>13</v>
      </c>
      <c r="E182" s="49">
        <v>16566.02</v>
      </c>
      <c r="F182" s="50" t="s">
        <v>55</v>
      </c>
      <c r="G182" s="51">
        <v>43009</v>
      </c>
      <c r="H182" s="52" t="s">
        <v>56</v>
      </c>
      <c r="I182" s="51">
        <v>43070</v>
      </c>
      <c r="J182" s="52">
        <f t="shared" si="0"/>
        <v>2.0333333333333332</v>
      </c>
      <c r="K182" s="53" t="s">
        <v>375</v>
      </c>
      <c r="L182" s="53">
        <v>50000</v>
      </c>
      <c r="M182" s="54">
        <v>534.01</v>
      </c>
      <c r="N182" s="54">
        <v>9042.4599999999991</v>
      </c>
      <c r="O182" s="54">
        <v>3307.16</v>
      </c>
      <c r="P182" s="54">
        <f t="shared" si="42"/>
        <v>0</v>
      </c>
      <c r="Q182" s="54">
        <f t="shared" si="34"/>
        <v>0</v>
      </c>
      <c r="R182" s="55">
        <f t="shared" si="3"/>
        <v>0</v>
      </c>
      <c r="S182" s="55">
        <f t="shared" si="4"/>
        <v>1</v>
      </c>
      <c r="T182" s="56"/>
      <c r="V182" s="57">
        <v>42.78</v>
      </c>
      <c r="W182" s="58"/>
      <c r="X182" s="58">
        <v>2.99</v>
      </c>
      <c r="Y182" s="58"/>
      <c r="Z182" s="58"/>
      <c r="AA182" s="58">
        <v>1911.46</v>
      </c>
      <c r="AB182" s="58">
        <f t="shared" si="37"/>
        <v>1957.23</v>
      </c>
      <c r="AC182" s="58"/>
      <c r="AD182" s="59">
        <v>6.5000000000000002E-2</v>
      </c>
      <c r="AE182" s="60">
        <f t="shared" si="63"/>
        <v>531.02036712328766</v>
      </c>
      <c r="AF182" s="61"/>
      <c r="AG182" s="59"/>
      <c r="AH182" s="60">
        <f t="shared" si="64"/>
        <v>0</v>
      </c>
      <c r="AI182" s="62"/>
      <c r="AJ182" s="62">
        <f t="shared" si="6"/>
        <v>531.02036712328766</v>
      </c>
      <c r="AK182" s="63">
        <f t="shared" si="40"/>
        <v>531.02036712328766</v>
      </c>
      <c r="AL182" s="64">
        <f t="shared" si="41"/>
        <v>534.01036712328766</v>
      </c>
      <c r="AP182" s="65">
        <f t="shared" si="8"/>
        <v>1</v>
      </c>
      <c r="AQ182" s="16">
        <f t="shared" si="9"/>
        <v>1</v>
      </c>
      <c r="AR182" s="16">
        <f t="shared" si="10"/>
        <v>1</v>
      </c>
      <c r="AS182" s="66">
        <f t="shared" si="11"/>
        <v>12349.619999999999</v>
      </c>
      <c r="AT182" s="67">
        <f t="shared" si="12"/>
        <v>16566.02</v>
      </c>
      <c r="AU182" s="68">
        <f t="shared" si="13"/>
        <v>2.0333333333333332</v>
      </c>
      <c r="AV182" s="19">
        <f t="shared" si="14"/>
        <v>2.4196139695044721E-3</v>
      </c>
      <c r="AW182" s="69">
        <f t="shared" si="15"/>
        <v>0</v>
      </c>
      <c r="AY182" s="65">
        <f t="shared" si="16"/>
        <v>0</v>
      </c>
      <c r="AZ182" s="16">
        <f t="shared" si="17"/>
        <v>1</v>
      </c>
      <c r="BA182" s="16">
        <f t="shared" si="18"/>
        <v>0</v>
      </c>
      <c r="BB182" s="70">
        <f t="shared" si="19"/>
        <v>0</v>
      </c>
      <c r="BC182" s="67">
        <f t="shared" si="20"/>
        <v>0</v>
      </c>
      <c r="BD182" s="71">
        <f t="shared" si="21"/>
        <v>0</v>
      </c>
      <c r="BE182" s="19">
        <f t="shared" si="22"/>
        <v>0</v>
      </c>
      <c r="BF182" s="69">
        <f t="shared" si="23"/>
        <v>0</v>
      </c>
      <c r="BH182" s="72">
        <f t="shared" si="24"/>
        <v>16566.02</v>
      </c>
      <c r="BI182" s="73">
        <f t="shared" si="25"/>
        <v>1</v>
      </c>
      <c r="BJ182" s="74">
        <f t="shared" si="26"/>
        <v>1.4727508579843547E-3</v>
      </c>
      <c r="BK182" s="75">
        <f t="shared" si="27"/>
        <v>0</v>
      </c>
      <c r="BM182" s="76">
        <f t="shared" si="28"/>
        <v>1</v>
      </c>
    </row>
    <row r="183" spans="1:65" ht="12.75" customHeight="1" x14ac:dyDescent="0.2">
      <c r="A183" s="47"/>
      <c r="B183" s="48" t="s">
        <v>376</v>
      </c>
      <c r="C183" s="49">
        <v>36770.21</v>
      </c>
      <c r="D183" s="50">
        <v>13</v>
      </c>
      <c r="E183" s="49">
        <v>32180.48</v>
      </c>
      <c r="F183" s="50" t="s">
        <v>55</v>
      </c>
      <c r="G183" s="51">
        <v>43009</v>
      </c>
      <c r="H183" s="52" t="s">
        <v>56</v>
      </c>
      <c r="I183" s="51">
        <v>43070</v>
      </c>
      <c r="J183" s="52">
        <f t="shared" si="0"/>
        <v>2.0333333333333332</v>
      </c>
      <c r="K183" s="53" t="s">
        <v>377</v>
      </c>
      <c r="L183" s="53">
        <v>48000</v>
      </c>
      <c r="M183" s="54">
        <v>766.89</v>
      </c>
      <c r="N183" s="54">
        <v>7017.7</v>
      </c>
      <c r="O183" s="54">
        <v>3084.56</v>
      </c>
      <c r="P183" s="54">
        <f t="shared" si="42"/>
        <v>0</v>
      </c>
      <c r="Q183" s="54">
        <f t="shared" si="34"/>
        <v>0</v>
      </c>
      <c r="R183" s="55">
        <f t="shared" si="3"/>
        <v>0</v>
      </c>
      <c r="S183" s="55">
        <f t="shared" si="4"/>
        <v>1</v>
      </c>
      <c r="T183" s="56"/>
      <c r="V183" s="57">
        <v>183.84</v>
      </c>
      <c r="W183" s="58">
        <v>202.01</v>
      </c>
      <c r="X183" s="58">
        <v>27.01</v>
      </c>
      <c r="Y183" s="58"/>
      <c r="Z183" s="58">
        <f>80.96+99.84</f>
        <v>180.8</v>
      </c>
      <c r="AA183" s="58">
        <v>960.12</v>
      </c>
      <c r="AB183" s="58">
        <f t="shared" si="37"/>
        <v>1553.78</v>
      </c>
      <c r="AC183" s="58"/>
      <c r="AD183" s="59">
        <v>2.2499999999999999E-2</v>
      </c>
      <c r="AE183" s="60">
        <f t="shared" si="63"/>
        <v>357.07107945205479</v>
      </c>
      <c r="AF183" s="61"/>
      <c r="AG183" s="59"/>
      <c r="AH183" s="60">
        <f t="shared" si="64"/>
        <v>0</v>
      </c>
      <c r="AI183" s="62"/>
      <c r="AJ183" s="62">
        <f t="shared" si="6"/>
        <v>357.07107945205479</v>
      </c>
      <c r="AK183" s="63">
        <f t="shared" si="40"/>
        <v>357.07107945205479</v>
      </c>
      <c r="AL183" s="64">
        <f t="shared" si="41"/>
        <v>766.89107945205478</v>
      </c>
      <c r="AP183" s="65">
        <f t="shared" si="8"/>
        <v>1</v>
      </c>
      <c r="AQ183" s="16">
        <f t="shared" si="9"/>
        <v>1</v>
      </c>
      <c r="AR183" s="16">
        <f t="shared" si="10"/>
        <v>1</v>
      </c>
      <c r="AS183" s="66">
        <f t="shared" si="11"/>
        <v>10102.26</v>
      </c>
      <c r="AT183" s="67">
        <f t="shared" si="12"/>
        <v>32180.48</v>
      </c>
      <c r="AU183" s="68">
        <f t="shared" si="13"/>
        <v>2.0333333333333332</v>
      </c>
      <c r="AV183" s="19">
        <f t="shared" si="14"/>
        <v>4.7002441717056524E-3</v>
      </c>
      <c r="AW183" s="69">
        <f t="shared" si="15"/>
        <v>0</v>
      </c>
      <c r="AY183" s="65">
        <f t="shared" si="16"/>
        <v>0</v>
      </c>
      <c r="AZ183" s="16">
        <f t="shared" si="17"/>
        <v>1</v>
      </c>
      <c r="BA183" s="16">
        <f t="shared" si="18"/>
        <v>0</v>
      </c>
      <c r="BB183" s="70">
        <f t="shared" si="19"/>
        <v>0</v>
      </c>
      <c r="BC183" s="67">
        <f t="shared" si="20"/>
        <v>0</v>
      </c>
      <c r="BD183" s="71">
        <f t="shared" si="21"/>
        <v>0</v>
      </c>
      <c r="BE183" s="19">
        <f t="shared" si="22"/>
        <v>0</v>
      </c>
      <c r="BF183" s="69">
        <f t="shared" si="23"/>
        <v>0</v>
      </c>
      <c r="BH183" s="72">
        <f t="shared" si="24"/>
        <v>32180.48</v>
      </c>
      <c r="BI183" s="73">
        <f t="shared" si="25"/>
        <v>1</v>
      </c>
      <c r="BJ183" s="74">
        <f t="shared" si="26"/>
        <v>2.86090621225547E-3</v>
      </c>
      <c r="BK183" s="75">
        <f t="shared" si="27"/>
        <v>0</v>
      </c>
      <c r="BM183" s="76">
        <f t="shared" si="28"/>
        <v>1</v>
      </c>
    </row>
    <row r="184" spans="1:65" ht="12.75" customHeight="1" x14ac:dyDescent="0.2">
      <c r="A184" s="47"/>
      <c r="B184" s="48" t="s">
        <v>378</v>
      </c>
      <c r="C184" s="49">
        <v>34338.379999999997</v>
      </c>
      <c r="D184" s="50">
        <v>13</v>
      </c>
      <c r="E184" s="49">
        <v>29916.400000000001</v>
      </c>
      <c r="F184" s="50" t="s">
        <v>55</v>
      </c>
      <c r="G184" s="51">
        <v>43040</v>
      </c>
      <c r="H184" s="52" t="s">
        <v>56</v>
      </c>
      <c r="I184" s="51">
        <v>43313</v>
      </c>
      <c r="J184" s="52">
        <f t="shared" si="0"/>
        <v>9.1</v>
      </c>
      <c r="K184" s="53" t="s">
        <v>379</v>
      </c>
      <c r="L184" s="53">
        <v>66500</v>
      </c>
      <c r="M184" s="54">
        <v>1094.1099999999999</v>
      </c>
      <c r="N184" s="54">
        <v>5459.24</v>
      </c>
      <c r="O184" s="54">
        <v>3588.12</v>
      </c>
      <c r="P184" s="54">
        <f t="shared" si="42"/>
        <v>0</v>
      </c>
      <c r="Q184" s="54">
        <f t="shared" si="34"/>
        <v>0</v>
      </c>
      <c r="R184" s="55">
        <f t="shared" si="3"/>
        <v>0</v>
      </c>
      <c r="S184" s="55">
        <f t="shared" si="4"/>
        <v>1</v>
      </c>
      <c r="T184" s="56"/>
      <c r="V184" s="57">
        <v>191.25</v>
      </c>
      <c r="W184" s="58"/>
      <c r="X184" s="58">
        <v>13.39</v>
      </c>
      <c r="Y184" s="58"/>
      <c r="Z184" s="58">
        <f>258.75+210.6+205.65</f>
        <v>675</v>
      </c>
      <c r="AA184" s="58">
        <v>3040.61</v>
      </c>
      <c r="AB184" s="58">
        <f t="shared" si="37"/>
        <v>3920.25</v>
      </c>
      <c r="AC184" s="58"/>
      <c r="AD184" s="59">
        <v>2.75E-2</v>
      </c>
      <c r="AE184" s="60">
        <f t="shared" si="63"/>
        <v>405.71556164383566</v>
      </c>
      <c r="AF184" s="61"/>
      <c r="AG184" s="59"/>
      <c r="AH184" s="60">
        <f t="shared" si="64"/>
        <v>0</v>
      </c>
      <c r="AI184" s="62"/>
      <c r="AJ184" s="62">
        <f t="shared" si="6"/>
        <v>405.71556164383566</v>
      </c>
      <c r="AK184" s="63">
        <f t="shared" si="40"/>
        <v>405.71556164383566</v>
      </c>
      <c r="AL184" s="64">
        <f t="shared" si="41"/>
        <v>1094.1055616438357</v>
      </c>
      <c r="AP184" s="65">
        <f t="shared" si="8"/>
        <v>1</v>
      </c>
      <c r="AQ184" s="16">
        <f t="shared" si="9"/>
        <v>1</v>
      </c>
      <c r="AR184" s="16">
        <f t="shared" si="10"/>
        <v>1</v>
      </c>
      <c r="AS184" s="66">
        <f t="shared" si="11"/>
        <v>9047.36</v>
      </c>
      <c r="AT184" s="67">
        <f t="shared" si="12"/>
        <v>29916.400000000001</v>
      </c>
      <c r="AU184" s="68">
        <f t="shared" si="13"/>
        <v>9.1</v>
      </c>
      <c r="AV184" s="19">
        <f t="shared" si="14"/>
        <v>4.3695552315694171E-3</v>
      </c>
      <c r="AW184" s="69">
        <f t="shared" si="15"/>
        <v>0</v>
      </c>
      <c r="AY184" s="65">
        <f t="shared" si="16"/>
        <v>0</v>
      </c>
      <c r="AZ184" s="16">
        <f t="shared" si="17"/>
        <v>1</v>
      </c>
      <c r="BA184" s="16">
        <f t="shared" si="18"/>
        <v>0</v>
      </c>
      <c r="BB184" s="70">
        <f t="shared" si="19"/>
        <v>0</v>
      </c>
      <c r="BC184" s="67">
        <f t="shared" si="20"/>
        <v>0</v>
      </c>
      <c r="BD184" s="71">
        <f t="shared" si="21"/>
        <v>0</v>
      </c>
      <c r="BE184" s="19">
        <f t="shared" si="22"/>
        <v>0</v>
      </c>
      <c r="BF184" s="69">
        <f t="shared" si="23"/>
        <v>0</v>
      </c>
      <c r="BH184" s="72">
        <f t="shared" si="24"/>
        <v>29916.400000000001</v>
      </c>
      <c r="BI184" s="73">
        <f t="shared" si="25"/>
        <v>1</v>
      </c>
      <c r="BJ184" s="74">
        <f t="shared" si="26"/>
        <v>2.6596251705480944E-3</v>
      </c>
      <c r="BK184" s="75">
        <f t="shared" si="27"/>
        <v>0</v>
      </c>
      <c r="BM184" s="76">
        <f t="shared" si="28"/>
        <v>1</v>
      </c>
    </row>
    <row r="185" spans="1:65" ht="12.75" customHeight="1" x14ac:dyDescent="0.2">
      <c r="A185" s="47"/>
      <c r="B185" s="48" t="s">
        <v>380</v>
      </c>
      <c r="C185" s="49">
        <v>28215</v>
      </c>
      <c r="D185" s="50">
        <v>12</v>
      </c>
      <c r="E185" s="49">
        <v>24327.18</v>
      </c>
      <c r="F185" s="50" t="s">
        <v>55</v>
      </c>
      <c r="G185" s="51">
        <v>43070</v>
      </c>
      <c r="H185" s="52" t="s">
        <v>56</v>
      </c>
      <c r="I185" s="51">
        <v>43282</v>
      </c>
      <c r="J185" s="52">
        <f t="shared" si="0"/>
        <v>7.0666666666666664</v>
      </c>
      <c r="K185" s="53" t="s">
        <v>381</v>
      </c>
      <c r="L185" s="53">
        <v>40000</v>
      </c>
      <c r="M185" s="54">
        <v>270.35999999999996</v>
      </c>
      <c r="N185" s="54">
        <v>3922.1</v>
      </c>
      <c r="O185" s="54">
        <v>105</v>
      </c>
      <c r="P185" s="54">
        <f t="shared" si="42"/>
        <v>0</v>
      </c>
      <c r="Q185" s="54">
        <f t="shared" si="34"/>
        <v>0</v>
      </c>
      <c r="R185" s="55">
        <f t="shared" si="3"/>
        <v>0</v>
      </c>
      <c r="S185" s="55">
        <f t="shared" si="4"/>
        <v>1</v>
      </c>
      <c r="T185" s="56"/>
      <c r="V185" s="57">
        <v>144</v>
      </c>
      <c r="W185" s="58"/>
      <c r="X185" s="58">
        <v>10.08</v>
      </c>
      <c r="Y185" s="58"/>
      <c r="Z185" s="58">
        <f>74.7+117.36+68.22</f>
        <v>260.27999999999997</v>
      </c>
      <c r="AA185" s="58"/>
      <c r="AB185" s="58">
        <f t="shared" si="37"/>
        <v>414.35999999999996</v>
      </c>
      <c r="AC185" s="58"/>
      <c r="AD185" s="59">
        <v>0</v>
      </c>
      <c r="AE185" s="60">
        <f t="shared" si="63"/>
        <v>0</v>
      </c>
      <c r="AF185" s="61"/>
      <c r="AG185" s="59"/>
      <c r="AH185" s="60">
        <f t="shared" si="64"/>
        <v>0</v>
      </c>
      <c r="AI185" s="62"/>
      <c r="AJ185" s="62">
        <f t="shared" si="6"/>
        <v>0</v>
      </c>
      <c r="AK185" s="63">
        <f t="shared" si="40"/>
        <v>0</v>
      </c>
      <c r="AL185" s="64">
        <f t="shared" si="41"/>
        <v>270.35999999999996</v>
      </c>
      <c r="AP185" s="65">
        <f t="shared" si="8"/>
        <v>1</v>
      </c>
      <c r="AQ185" s="16">
        <f t="shared" si="9"/>
        <v>1</v>
      </c>
      <c r="AR185" s="16">
        <f t="shared" si="10"/>
        <v>1</v>
      </c>
      <c r="AS185" s="66">
        <f t="shared" si="11"/>
        <v>4027.1</v>
      </c>
      <c r="AT185" s="67">
        <f t="shared" si="12"/>
        <v>24327.18</v>
      </c>
      <c r="AU185" s="68">
        <f t="shared" si="13"/>
        <v>7.0666666666666664</v>
      </c>
      <c r="AV185" s="19">
        <f t="shared" si="14"/>
        <v>3.5532001389983717E-3</v>
      </c>
      <c r="AW185" s="69">
        <f t="shared" si="15"/>
        <v>0</v>
      </c>
      <c r="AY185" s="65">
        <f t="shared" si="16"/>
        <v>0</v>
      </c>
      <c r="AZ185" s="16">
        <f t="shared" si="17"/>
        <v>1</v>
      </c>
      <c r="BA185" s="16">
        <f t="shared" si="18"/>
        <v>0</v>
      </c>
      <c r="BB185" s="70">
        <f t="shared" si="19"/>
        <v>0</v>
      </c>
      <c r="BC185" s="67">
        <f t="shared" si="20"/>
        <v>0</v>
      </c>
      <c r="BD185" s="71">
        <f t="shared" si="21"/>
        <v>0</v>
      </c>
      <c r="BE185" s="19">
        <f t="shared" si="22"/>
        <v>0</v>
      </c>
      <c r="BF185" s="69">
        <f t="shared" si="23"/>
        <v>0</v>
      </c>
      <c r="BH185" s="72">
        <f t="shared" si="24"/>
        <v>24327.18</v>
      </c>
      <c r="BI185" s="73">
        <f t="shared" si="25"/>
        <v>1</v>
      </c>
      <c r="BJ185" s="74">
        <f t="shared" si="26"/>
        <v>2.16273282401807E-3</v>
      </c>
      <c r="BK185" s="75">
        <f t="shared" si="27"/>
        <v>0</v>
      </c>
      <c r="BM185" s="76">
        <f t="shared" si="28"/>
        <v>1</v>
      </c>
    </row>
    <row r="186" spans="1:65" ht="12.75" customHeight="1" x14ac:dyDescent="0.2">
      <c r="A186" s="47"/>
      <c r="B186" s="48" t="s">
        <v>382</v>
      </c>
      <c r="C186" s="49">
        <v>19000</v>
      </c>
      <c r="D186" s="50">
        <v>13</v>
      </c>
      <c r="E186" s="49">
        <v>14059.21</v>
      </c>
      <c r="F186" s="50" t="s">
        <v>55</v>
      </c>
      <c r="G186" s="51">
        <v>43281</v>
      </c>
      <c r="H186" s="52" t="s">
        <v>56</v>
      </c>
      <c r="I186" s="51">
        <v>43497</v>
      </c>
      <c r="J186" s="52">
        <f t="shared" si="0"/>
        <v>7.2</v>
      </c>
      <c r="K186" s="53" t="s">
        <v>68</v>
      </c>
      <c r="L186" s="53">
        <v>41000</v>
      </c>
      <c r="M186" s="54">
        <v>510.85</v>
      </c>
      <c r="N186" s="54">
        <v>4379.91</v>
      </c>
      <c r="O186" s="54">
        <v>3955.2</v>
      </c>
      <c r="P186" s="54">
        <f t="shared" si="42"/>
        <v>0</v>
      </c>
      <c r="Q186" s="54">
        <f t="shared" si="34"/>
        <v>0</v>
      </c>
      <c r="R186" s="55">
        <f t="shared" si="3"/>
        <v>0</v>
      </c>
      <c r="S186" s="55">
        <f t="shared" si="4"/>
        <v>1</v>
      </c>
      <c r="T186" s="56"/>
      <c r="V186" s="57">
        <v>426.3</v>
      </c>
      <c r="W186" s="58">
        <v>12.16</v>
      </c>
      <c r="X186" s="58">
        <v>30.69</v>
      </c>
      <c r="Y186" s="58"/>
      <c r="Z186" s="58">
        <v>0</v>
      </c>
      <c r="AA186" s="58">
        <v>3372.29</v>
      </c>
      <c r="AB186" s="58">
        <f t="shared" si="37"/>
        <v>3841.44</v>
      </c>
      <c r="AC186" s="58"/>
      <c r="AD186" s="59">
        <v>6.7500000000000004E-2</v>
      </c>
      <c r="AE186" s="60">
        <f t="shared" si="63"/>
        <v>467.99836027397259</v>
      </c>
      <c r="AF186" s="61"/>
      <c r="AG186" s="59"/>
      <c r="AH186" s="60">
        <f t="shared" si="64"/>
        <v>0</v>
      </c>
      <c r="AI186" s="62"/>
      <c r="AJ186" s="62">
        <f t="shared" si="6"/>
        <v>467.99836027397259</v>
      </c>
      <c r="AK186" s="63">
        <f t="shared" si="40"/>
        <v>467.99836027397259</v>
      </c>
      <c r="AL186" s="64">
        <f t="shared" si="41"/>
        <v>510.84836027397262</v>
      </c>
      <c r="AP186" s="65">
        <f t="shared" si="8"/>
        <v>1</v>
      </c>
      <c r="AQ186" s="16">
        <f t="shared" si="9"/>
        <v>1</v>
      </c>
      <c r="AR186" s="16">
        <f t="shared" si="10"/>
        <v>1</v>
      </c>
      <c r="AS186" s="66">
        <f t="shared" si="11"/>
        <v>8335.11</v>
      </c>
      <c r="AT186" s="67">
        <f t="shared" si="12"/>
        <v>14059.21</v>
      </c>
      <c r="AU186" s="68">
        <f t="shared" si="13"/>
        <v>7.2</v>
      </c>
      <c r="AV186" s="19">
        <f t="shared" si="14"/>
        <v>2.0534721626677358E-3</v>
      </c>
      <c r="AW186" s="69">
        <f t="shared" si="15"/>
        <v>0</v>
      </c>
      <c r="AY186" s="65">
        <f t="shared" si="16"/>
        <v>0</v>
      </c>
      <c r="AZ186" s="16">
        <f t="shared" si="17"/>
        <v>1</v>
      </c>
      <c r="BA186" s="16">
        <f t="shared" si="18"/>
        <v>0</v>
      </c>
      <c r="BB186" s="70">
        <f t="shared" si="19"/>
        <v>0</v>
      </c>
      <c r="BC186" s="67">
        <f t="shared" si="20"/>
        <v>0</v>
      </c>
      <c r="BD186" s="71">
        <f t="shared" si="21"/>
        <v>0</v>
      </c>
      <c r="BE186" s="19">
        <f t="shared" si="22"/>
        <v>0</v>
      </c>
      <c r="BF186" s="69">
        <f t="shared" si="23"/>
        <v>0</v>
      </c>
      <c r="BH186" s="72">
        <f t="shared" si="24"/>
        <v>14059.21</v>
      </c>
      <c r="BI186" s="73">
        <f t="shared" si="25"/>
        <v>1</v>
      </c>
      <c r="BJ186" s="74">
        <f t="shared" si="26"/>
        <v>1.2498906550929079E-3</v>
      </c>
      <c r="BK186" s="75">
        <f t="shared" si="27"/>
        <v>0</v>
      </c>
      <c r="BM186" s="76">
        <f t="shared" si="28"/>
        <v>1</v>
      </c>
    </row>
    <row r="187" spans="1:65" ht="12.75" customHeight="1" x14ac:dyDescent="0.2">
      <c r="A187" s="47"/>
      <c r="B187" s="48" t="s">
        <v>383</v>
      </c>
      <c r="C187" s="49">
        <v>16165</v>
      </c>
      <c r="D187" s="50">
        <v>13</v>
      </c>
      <c r="E187" s="49">
        <v>13385.19</v>
      </c>
      <c r="F187" s="50" t="s">
        <v>55</v>
      </c>
      <c r="G187" s="51">
        <v>43281</v>
      </c>
      <c r="H187" s="52" t="s">
        <v>56</v>
      </c>
      <c r="I187" s="51">
        <v>43828</v>
      </c>
      <c r="J187" s="52">
        <f t="shared" si="0"/>
        <v>18.233333333333334</v>
      </c>
      <c r="K187" s="53" t="s">
        <v>384</v>
      </c>
      <c r="L187" s="53">
        <v>15000</v>
      </c>
      <c r="M187" s="54">
        <v>514.80999999999995</v>
      </c>
      <c r="N187" s="54">
        <v>5724</v>
      </c>
      <c r="O187" s="54">
        <v>5724.4</v>
      </c>
      <c r="P187" s="54">
        <v>0</v>
      </c>
      <c r="Q187" s="54">
        <f t="shared" si="34"/>
        <v>10348.4</v>
      </c>
      <c r="R187" s="55">
        <f t="shared" si="3"/>
        <v>0.77312313086328988</v>
      </c>
      <c r="S187" s="55">
        <f t="shared" si="4"/>
        <v>0.22687686913671012</v>
      </c>
      <c r="T187" s="56"/>
      <c r="V187" s="57">
        <v>463.84</v>
      </c>
      <c r="W187" s="58">
        <v>5.63</v>
      </c>
      <c r="X187" s="58">
        <v>32.86</v>
      </c>
      <c r="Y187" s="58"/>
      <c r="Z187" s="58">
        <f>141.96+220.48+113.88</f>
        <v>476.32</v>
      </c>
      <c r="AA187" s="58"/>
      <c r="AB187" s="58">
        <f t="shared" si="37"/>
        <v>978.65</v>
      </c>
      <c r="AC187" s="58"/>
      <c r="AD187" s="59">
        <v>0</v>
      </c>
      <c r="AE187" s="60">
        <f t="shared" si="63"/>
        <v>0</v>
      </c>
      <c r="AF187" s="61"/>
      <c r="AG187" s="59"/>
      <c r="AH187" s="60">
        <f t="shared" si="64"/>
        <v>0</v>
      </c>
      <c r="AI187" s="62"/>
      <c r="AJ187" s="62">
        <f t="shared" si="6"/>
        <v>0</v>
      </c>
      <c r="AK187" s="63">
        <f t="shared" si="40"/>
        <v>0</v>
      </c>
      <c r="AL187" s="64">
        <f t="shared" si="41"/>
        <v>514.80999999999995</v>
      </c>
      <c r="AP187" s="65">
        <f t="shared" si="8"/>
        <v>1</v>
      </c>
      <c r="AQ187" s="16">
        <f t="shared" si="9"/>
        <v>1</v>
      </c>
      <c r="AR187" s="16">
        <f t="shared" si="10"/>
        <v>1</v>
      </c>
      <c r="AS187" s="66">
        <f t="shared" si="11"/>
        <v>11448.4</v>
      </c>
      <c r="AT187" s="67">
        <f t="shared" si="12"/>
        <v>13385.19</v>
      </c>
      <c r="AU187" s="68">
        <f t="shared" si="13"/>
        <v>18.233333333333334</v>
      </c>
      <c r="AV187" s="19">
        <f t="shared" si="14"/>
        <v>1.9550255709260018E-3</v>
      </c>
      <c r="AW187" s="69">
        <f t="shared" si="15"/>
        <v>1.5114754903121012E-3</v>
      </c>
      <c r="AY187" s="65">
        <f t="shared" si="16"/>
        <v>0</v>
      </c>
      <c r="AZ187" s="16">
        <f t="shared" si="17"/>
        <v>1</v>
      </c>
      <c r="BA187" s="16">
        <f t="shared" si="18"/>
        <v>0</v>
      </c>
      <c r="BB187" s="70">
        <f t="shared" si="19"/>
        <v>0</v>
      </c>
      <c r="BC187" s="67">
        <f t="shared" si="20"/>
        <v>0</v>
      </c>
      <c r="BD187" s="71">
        <f t="shared" si="21"/>
        <v>0</v>
      </c>
      <c r="BE187" s="19">
        <f t="shared" si="22"/>
        <v>0</v>
      </c>
      <c r="BF187" s="69">
        <f t="shared" si="23"/>
        <v>0</v>
      </c>
      <c r="BH187" s="72">
        <f t="shared" si="24"/>
        <v>13385.19</v>
      </c>
      <c r="BI187" s="73">
        <f t="shared" si="25"/>
        <v>1</v>
      </c>
      <c r="BJ187" s="74">
        <f t="shared" si="26"/>
        <v>1.1899689881325511E-3</v>
      </c>
      <c r="BK187" s="75">
        <f t="shared" si="27"/>
        <v>9.1999254973525895E-4</v>
      </c>
      <c r="BM187" s="76">
        <f t="shared" si="28"/>
        <v>1</v>
      </c>
    </row>
    <row r="188" spans="1:65" ht="12.75" customHeight="1" x14ac:dyDescent="0.2">
      <c r="A188" s="47"/>
      <c r="B188" s="48" t="s">
        <v>385</v>
      </c>
      <c r="C188" s="49">
        <v>21303.86</v>
      </c>
      <c r="D188" s="50">
        <v>13</v>
      </c>
      <c r="E188" s="49">
        <v>15897.02</v>
      </c>
      <c r="F188" s="50" t="s">
        <v>55</v>
      </c>
      <c r="G188" s="51">
        <v>43285</v>
      </c>
      <c r="H188" s="52" t="s">
        <v>56</v>
      </c>
      <c r="I188" s="51">
        <v>43352</v>
      </c>
      <c r="J188" s="52">
        <f t="shared" si="0"/>
        <v>2.2333333333333334</v>
      </c>
      <c r="K188" s="53" t="s">
        <v>386</v>
      </c>
      <c r="L188" s="53">
        <v>42000</v>
      </c>
      <c r="M188" s="54">
        <v>1472.14</v>
      </c>
      <c r="N188" s="54">
        <v>8879.9699999999993</v>
      </c>
      <c r="O188" s="54">
        <v>285</v>
      </c>
      <c r="P188" s="54">
        <f>IF(L188="N/A",0,IF(L188-E188&gt;0,0,E188-L188))</f>
        <v>0</v>
      </c>
      <c r="Q188" s="54">
        <v>0</v>
      </c>
      <c r="R188" s="55">
        <f t="shared" si="3"/>
        <v>0</v>
      </c>
      <c r="S188" s="55">
        <f t="shared" si="4"/>
        <v>1</v>
      </c>
      <c r="T188" s="56"/>
      <c r="V188" s="57">
        <v>445.2</v>
      </c>
      <c r="W188" s="58">
        <v>20.99</v>
      </c>
      <c r="X188" s="58">
        <v>32.630000000000003</v>
      </c>
      <c r="Y188" s="58"/>
      <c r="Z188" s="58">
        <f>208.29+547.49+153.17</f>
        <v>908.94999999999993</v>
      </c>
      <c r="AA188" s="58">
        <v>5190.82</v>
      </c>
      <c r="AB188" s="58">
        <f t="shared" si="37"/>
        <v>6598.5899999999992</v>
      </c>
      <c r="AC188" s="58"/>
      <c r="AD188" s="59">
        <v>6.5000000000000002E-2</v>
      </c>
      <c r="AE188" s="60">
        <f t="shared" si="63"/>
        <v>509.57570958904108</v>
      </c>
      <c r="AF188" s="61"/>
      <c r="AG188" s="59"/>
      <c r="AH188" s="60">
        <f t="shared" si="64"/>
        <v>0</v>
      </c>
      <c r="AI188" s="62"/>
      <c r="AJ188" s="62">
        <f t="shared" si="6"/>
        <v>509.57570958904108</v>
      </c>
      <c r="AK188" s="63">
        <f t="shared" si="40"/>
        <v>509.57570958904108</v>
      </c>
      <c r="AL188" s="64">
        <f t="shared" si="41"/>
        <v>1472.145709589041</v>
      </c>
      <c r="AP188" s="65">
        <f t="shared" si="8"/>
        <v>1</v>
      </c>
      <c r="AQ188" s="16">
        <f t="shared" si="9"/>
        <v>1</v>
      </c>
      <c r="AR188" s="16">
        <f t="shared" si="10"/>
        <v>1</v>
      </c>
      <c r="AS188" s="66">
        <f t="shared" si="11"/>
        <v>9164.9699999999993</v>
      </c>
      <c r="AT188" s="67">
        <f t="shared" si="12"/>
        <v>15897.02</v>
      </c>
      <c r="AU188" s="68">
        <f t="shared" si="13"/>
        <v>2.2333333333333334</v>
      </c>
      <c r="AV188" s="19">
        <f t="shared" si="14"/>
        <v>2.321900593231928E-3</v>
      </c>
      <c r="AW188" s="69">
        <f t="shared" si="15"/>
        <v>0</v>
      </c>
      <c r="AY188" s="65">
        <f t="shared" si="16"/>
        <v>0</v>
      </c>
      <c r="AZ188" s="16">
        <f t="shared" si="17"/>
        <v>1</v>
      </c>
      <c r="BA188" s="16">
        <f t="shared" si="18"/>
        <v>0</v>
      </c>
      <c r="BB188" s="70">
        <f t="shared" si="19"/>
        <v>0</v>
      </c>
      <c r="BC188" s="67">
        <f t="shared" si="20"/>
        <v>0</v>
      </c>
      <c r="BD188" s="71">
        <f t="shared" si="21"/>
        <v>0</v>
      </c>
      <c r="BE188" s="19">
        <f t="shared" si="22"/>
        <v>0</v>
      </c>
      <c r="BF188" s="69">
        <f t="shared" si="23"/>
        <v>0</v>
      </c>
      <c r="BH188" s="72">
        <f t="shared" si="24"/>
        <v>15897.02</v>
      </c>
      <c r="BI188" s="73">
        <f t="shared" si="25"/>
        <v>1</v>
      </c>
      <c r="BJ188" s="74">
        <f t="shared" si="26"/>
        <v>1.4132754786239812E-3</v>
      </c>
      <c r="BK188" s="75">
        <f t="shared" si="27"/>
        <v>0</v>
      </c>
      <c r="BM188" s="76">
        <f t="shared" si="28"/>
        <v>1</v>
      </c>
    </row>
    <row r="189" spans="1:65" ht="12.75" customHeight="1" x14ac:dyDescent="0.2">
      <c r="A189" s="47"/>
      <c r="B189" s="48" t="s">
        <v>387</v>
      </c>
      <c r="C189" s="49">
        <v>43200</v>
      </c>
      <c r="D189" s="50">
        <v>13</v>
      </c>
      <c r="E189" s="49">
        <v>42514.15</v>
      </c>
      <c r="F189" s="50" t="s">
        <v>55</v>
      </c>
      <c r="G189" s="51">
        <v>43343</v>
      </c>
      <c r="H189" s="52" t="s">
        <v>56</v>
      </c>
      <c r="I189" s="51">
        <v>43828</v>
      </c>
      <c r="J189" s="52">
        <f t="shared" si="0"/>
        <v>16.166666666666668</v>
      </c>
      <c r="K189" s="53" t="s">
        <v>388</v>
      </c>
      <c r="L189" s="53">
        <v>62000</v>
      </c>
      <c r="M189" s="54">
        <v>1755.48</v>
      </c>
      <c r="N189" s="54">
        <v>4808.13</v>
      </c>
      <c r="O189" s="54">
        <v>4808.13</v>
      </c>
      <c r="P189" s="54">
        <v>0</v>
      </c>
      <c r="Q189" s="54">
        <f>IF(L189="N/A",0,IF(L189-E189-M189-N189-O189&gt;0,0,(L189-E189-M189-N189-O189)*-1))</f>
        <v>0</v>
      </c>
      <c r="R189" s="55">
        <f t="shared" si="3"/>
        <v>0</v>
      </c>
      <c r="S189" s="55">
        <f t="shared" si="4"/>
        <v>1</v>
      </c>
      <c r="T189" s="56"/>
      <c r="V189" s="57">
        <v>203.5</v>
      </c>
      <c r="W189" s="58"/>
      <c r="X189" s="58">
        <v>14.25</v>
      </c>
      <c r="Y189" s="58"/>
      <c r="Z189" s="58">
        <f>110.88+199.54+193.82</f>
        <v>504.23999999999995</v>
      </c>
      <c r="AA189" s="58">
        <v>5016.99</v>
      </c>
      <c r="AB189" s="58">
        <f t="shared" si="37"/>
        <v>5738.98</v>
      </c>
      <c r="AC189" s="58"/>
      <c r="AD189" s="59">
        <v>5.8999999999999997E-2</v>
      </c>
      <c r="AE189" s="60">
        <f t="shared" si="63"/>
        <v>1236.9870493150684</v>
      </c>
      <c r="AF189" s="61"/>
      <c r="AG189" s="59"/>
      <c r="AH189" s="60">
        <f t="shared" si="64"/>
        <v>0</v>
      </c>
      <c r="AI189" s="62"/>
      <c r="AJ189" s="62">
        <f t="shared" si="6"/>
        <v>1236.9870493150684</v>
      </c>
      <c r="AK189" s="63">
        <f t="shared" si="40"/>
        <v>1236.9870493150684</v>
      </c>
      <c r="AL189" s="64">
        <f t="shared" si="41"/>
        <v>1755.4770493150684</v>
      </c>
      <c r="AP189" s="65">
        <f t="shared" si="8"/>
        <v>1</v>
      </c>
      <c r="AQ189" s="16">
        <f t="shared" si="9"/>
        <v>1</v>
      </c>
      <c r="AR189" s="16">
        <f t="shared" si="10"/>
        <v>1</v>
      </c>
      <c r="AS189" s="66">
        <f t="shared" si="11"/>
        <v>9616.26</v>
      </c>
      <c r="AT189" s="67">
        <f t="shared" si="12"/>
        <v>42514.15</v>
      </c>
      <c r="AU189" s="68">
        <f t="shared" si="13"/>
        <v>16.166666666666668</v>
      </c>
      <c r="AV189" s="19">
        <f t="shared" si="14"/>
        <v>6.2095682150334576E-3</v>
      </c>
      <c r="AW189" s="69">
        <f t="shared" si="15"/>
        <v>0</v>
      </c>
      <c r="AY189" s="65">
        <f t="shared" si="16"/>
        <v>0</v>
      </c>
      <c r="AZ189" s="16">
        <f t="shared" si="17"/>
        <v>1</v>
      </c>
      <c r="BA189" s="16">
        <f t="shared" si="18"/>
        <v>0</v>
      </c>
      <c r="BB189" s="70">
        <f t="shared" si="19"/>
        <v>0</v>
      </c>
      <c r="BC189" s="67">
        <f t="shared" si="20"/>
        <v>0</v>
      </c>
      <c r="BD189" s="71">
        <f t="shared" si="21"/>
        <v>0</v>
      </c>
      <c r="BE189" s="19">
        <f t="shared" si="22"/>
        <v>0</v>
      </c>
      <c r="BF189" s="69">
        <f t="shared" si="23"/>
        <v>0</v>
      </c>
      <c r="BH189" s="72">
        <f t="shared" si="24"/>
        <v>42514.15</v>
      </c>
      <c r="BI189" s="73">
        <f t="shared" si="25"/>
        <v>1</v>
      </c>
      <c r="BJ189" s="74">
        <f t="shared" si="26"/>
        <v>3.7795892368218528E-3</v>
      </c>
      <c r="BK189" s="75">
        <f t="shared" si="27"/>
        <v>0</v>
      </c>
      <c r="BM189" s="76">
        <f t="shared" si="28"/>
        <v>1</v>
      </c>
    </row>
    <row r="190" spans="1:65" ht="12.75" customHeight="1" x14ac:dyDescent="0.2">
      <c r="A190" s="47"/>
      <c r="B190" s="48" t="s">
        <v>389</v>
      </c>
      <c r="C190" s="49">
        <v>19290</v>
      </c>
      <c r="D190" s="50">
        <v>13</v>
      </c>
      <c r="E190" s="49">
        <v>15262.37</v>
      </c>
      <c r="F190" s="50" t="s">
        <v>55</v>
      </c>
      <c r="G190" s="51">
        <v>43374</v>
      </c>
      <c r="H190" s="52" t="s">
        <v>56</v>
      </c>
      <c r="I190" s="51">
        <v>43527</v>
      </c>
      <c r="J190" s="52">
        <f t="shared" si="0"/>
        <v>5.0999999999999996</v>
      </c>
      <c r="K190" s="53" t="s">
        <v>390</v>
      </c>
      <c r="L190" s="53">
        <v>35000</v>
      </c>
      <c r="M190" s="54">
        <v>446.40000000000003</v>
      </c>
      <c r="N190" s="54">
        <v>2568.7199999999998</v>
      </c>
      <c r="O190" s="54">
        <v>140</v>
      </c>
      <c r="P190" s="54">
        <v>0</v>
      </c>
      <c r="Q190" s="54">
        <v>0</v>
      </c>
      <c r="R190" s="55">
        <f t="shared" si="3"/>
        <v>0</v>
      </c>
      <c r="S190" s="55">
        <f t="shared" si="4"/>
        <v>1</v>
      </c>
      <c r="T190" s="56"/>
      <c r="V190" s="57">
        <v>360</v>
      </c>
      <c r="W190" s="58"/>
      <c r="X190" s="58">
        <v>25.2</v>
      </c>
      <c r="Y190" s="58"/>
      <c r="Z190" s="58">
        <f>141.3+164.25+115.65</f>
        <v>421.20000000000005</v>
      </c>
      <c r="AA190" s="58"/>
      <c r="AB190" s="58">
        <f t="shared" si="37"/>
        <v>806.40000000000009</v>
      </c>
      <c r="AC190" s="58"/>
      <c r="AD190" s="59">
        <v>0</v>
      </c>
      <c r="AE190" s="60">
        <f t="shared" si="63"/>
        <v>0</v>
      </c>
      <c r="AF190" s="61"/>
      <c r="AG190" s="59"/>
      <c r="AH190" s="60">
        <f t="shared" si="64"/>
        <v>0</v>
      </c>
      <c r="AI190" s="62"/>
      <c r="AJ190" s="62">
        <f t="shared" si="6"/>
        <v>0</v>
      </c>
      <c r="AK190" s="63">
        <f t="shared" si="40"/>
        <v>0</v>
      </c>
      <c r="AL190" s="64">
        <f t="shared" si="41"/>
        <v>446.40000000000003</v>
      </c>
      <c r="AP190" s="65">
        <f t="shared" si="8"/>
        <v>1</v>
      </c>
      <c r="AQ190" s="16">
        <f t="shared" si="9"/>
        <v>1</v>
      </c>
      <c r="AR190" s="16">
        <f t="shared" si="10"/>
        <v>1</v>
      </c>
      <c r="AS190" s="66">
        <f t="shared" si="11"/>
        <v>2708.72</v>
      </c>
      <c r="AT190" s="67">
        <f t="shared" si="12"/>
        <v>15262.37</v>
      </c>
      <c r="AU190" s="68">
        <f t="shared" si="13"/>
        <v>5.0999999999999996</v>
      </c>
      <c r="AV190" s="19">
        <f t="shared" si="14"/>
        <v>2.2292043387455752E-3</v>
      </c>
      <c r="AW190" s="69">
        <f t="shared" si="15"/>
        <v>0</v>
      </c>
      <c r="AY190" s="65">
        <f t="shared" si="16"/>
        <v>0</v>
      </c>
      <c r="AZ190" s="16">
        <f t="shared" si="17"/>
        <v>1</v>
      </c>
      <c r="BA190" s="16">
        <f t="shared" si="18"/>
        <v>0</v>
      </c>
      <c r="BB190" s="70">
        <f t="shared" si="19"/>
        <v>0</v>
      </c>
      <c r="BC190" s="67">
        <f t="shared" si="20"/>
        <v>0</v>
      </c>
      <c r="BD190" s="71">
        <f t="shared" si="21"/>
        <v>0</v>
      </c>
      <c r="BE190" s="19">
        <f t="shared" si="22"/>
        <v>0</v>
      </c>
      <c r="BF190" s="69">
        <f t="shared" si="23"/>
        <v>0</v>
      </c>
      <c r="BH190" s="72">
        <f t="shared" si="24"/>
        <v>15262.37</v>
      </c>
      <c r="BI190" s="73">
        <f t="shared" si="25"/>
        <v>1</v>
      </c>
      <c r="BJ190" s="74">
        <f t="shared" si="26"/>
        <v>1.356853879952739E-3</v>
      </c>
      <c r="BK190" s="75">
        <f t="shared" si="27"/>
        <v>0</v>
      </c>
      <c r="BM190" s="76">
        <f t="shared" si="28"/>
        <v>1</v>
      </c>
    </row>
    <row r="191" spans="1:65" ht="12.75" customHeight="1" x14ac:dyDescent="0.2">
      <c r="A191" s="47"/>
      <c r="B191" s="48" t="s">
        <v>391</v>
      </c>
      <c r="C191" s="49">
        <v>30350</v>
      </c>
      <c r="D191" s="50">
        <v>13</v>
      </c>
      <c r="E191" s="49">
        <v>27252.6</v>
      </c>
      <c r="F191" s="50" t="s">
        <v>55</v>
      </c>
      <c r="G191" s="51">
        <v>43466</v>
      </c>
      <c r="H191" s="52" t="s">
        <v>56</v>
      </c>
      <c r="I191" s="51">
        <v>44924</v>
      </c>
      <c r="J191" s="52">
        <f t="shared" si="0"/>
        <v>48.6</v>
      </c>
      <c r="K191" s="53" t="s">
        <v>392</v>
      </c>
      <c r="L191" s="53">
        <v>35000</v>
      </c>
      <c r="M191" s="54">
        <v>537.45000000000005</v>
      </c>
      <c r="N191" s="54">
        <v>6469.36</v>
      </c>
      <c r="O191" s="54">
        <v>1866.55</v>
      </c>
      <c r="P191" s="54">
        <f>IF(L191="N/A",0,IF(L191-E191&gt;0,0,E191-L191))</f>
        <v>0</v>
      </c>
      <c r="Q191" s="54">
        <f>IF(L191="N/A",0,IF(L191-E191-M191-N191-O191&gt;0,0,(L191-E191-M191-N191-O191)*-1))</f>
        <v>1125.959999999998</v>
      </c>
      <c r="R191" s="55">
        <f t="shared" si="3"/>
        <v>4.1315690979943129E-2</v>
      </c>
      <c r="S191" s="55">
        <f t="shared" si="4"/>
        <v>0.95868430902005686</v>
      </c>
      <c r="T191" s="56"/>
      <c r="V191" s="57">
        <v>344</v>
      </c>
      <c r="W191" s="58">
        <v>11.36</v>
      </c>
      <c r="X191" s="58">
        <v>24.87</v>
      </c>
      <c r="Y191" s="58"/>
      <c r="Z191" s="58">
        <f>177.08+136.23+187.91</f>
        <v>501.22</v>
      </c>
      <c r="AA191" s="58"/>
      <c r="AB191" s="58">
        <f t="shared" si="37"/>
        <v>881.45</v>
      </c>
      <c r="AC191" s="58"/>
      <c r="AD191" s="59">
        <v>0</v>
      </c>
      <c r="AE191" s="60">
        <f t="shared" ref="AE191:AE194" si="65">((AC191*AD191)/365)*180</f>
        <v>0</v>
      </c>
      <c r="AF191" s="61"/>
      <c r="AG191" s="59"/>
      <c r="AH191" s="60">
        <f t="shared" ref="AH191:AH194" si="66">((AF191*AG191)/365)*180</f>
        <v>0</v>
      </c>
      <c r="AI191" s="62">
        <f t="shared" ref="AI191:AI194" si="67">AC191+AF191</f>
        <v>0</v>
      </c>
      <c r="AJ191" s="62">
        <f t="shared" si="6"/>
        <v>0</v>
      </c>
      <c r="AK191" s="63">
        <f t="shared" si="40"/>
        <v>0</v>
      </c>
      <c r="AL191" s="64">
        <f t="shared" si="41"/>
        <v>537.45000000000005</v>
      </c>
      <c r="AP191" s="65">
        <f t="shared" si="8"/>
        <v>1</v>
      </c>
      <c r="AQ191" s="16">
        <f t="shared" si="9"/>
        <v>1</v>
      </c>
      <c r="AR191" s="16">
        <f t="shared" si="10"/>
        <v>1</v>
      </c>
      <c r="AS191" s="66">
        <f t="shared" si="11"/>
        <v>8335.91</v>
      </c>
      <c r="AT191" s="67">
        <f t="shared" si="12"/>
        <v>27252.6</v>
      </c>
      <c r="AU191" s="68">
        <f t="shared" si="13"/>
        <v>48.6</v>
      </c>
      <c r="AV191" s="19">
        <f t="shared" si="14"/>
        <v>3.9804836445517739E-3</v>
      </c>
      <c r="AW191" s="69">
        <f t="shared" si="15"/>
        <v>1.6445643220901887E-4</v>
      </c>
      <c r="AY191" s="65">
        <f t="shared" si="16"/>
        <v>0</v>
      </c>
      <c r="AZ191" s="16">
        <f t="shared" si="17"/>
        <v>1</v>
      </c>
      <c r="BA191" s="16">
        <f t="shared" si="18"/>
        <v>0</v>
      </c>
      <c r="BB191" s="70">
        <f t="shared" si="19"/>
        <v>0</v>
      </c>
      <c r="BC191" s="67">
        <f t="shared" si="20"/>
        <v>0</v>
      </c>
      <c r="BD191" s="71">
        <f t="shared" si="21"/>
        <v>0</v>
      </c>
      <c r="BE191" s="19">
        <f t="shared" si="22"/>
        <v>0</v>
      </c>
      <c r="BF191" s="69">
        <f t="shared" si="23"/>
        <v>0</v>
      </c>
      <c r="BH191" s="72">
        <f t="shared" si="24"/>
        <v>27252.6</v>
      </c>
      <c r="BI191" s="73">
        <f t="shared" si="25"/>
        <v>1</v>
      </c>
      <c r="BJ191" s="74">
        <f t="shared" si="26"/>
        <v>2.4228082564372385E-3</v>
      </c>
      <c r="BK191" s="75">
        <f t="shared" si="27"/>
        <v>1.0009999722661576E-4</v>
      </c>
      <c r="BM191" s="76">
        <f t="shared" si="28"/>
        <v>1</v>
      </c>
    </row>
    <row r="192" spans="1:65" ht="12.75" customHeight="1" x14ac:dyDescent="0.2">
      <c r="A192" s="47"/>
      <c r="B192" s="48" t="s">
        <v>393</v>
      </c>
      <c r="C192" s="49">
        <v>25200</v>
      </c>
      <c r="D192" s="50">
        <v>13</v>
      </c>
      <c r="E192" s="49">
        <v>22065.22</v>
      </c>
      <c r="F192" s="50" t="s">
        <v>55</v>
      </c>
      <c r="G192" s="51">
        <v>43497</v>
      </c>
      <c r="H192" s="52" t="s">
        <v>56</v>
      </c>
      <c r="I192" s="51">
        <v>43635</v>
      </c>
      <c r="J192" s="52">
        <f t="shared" si="0"/>
        <v>4.5999999999999996</v>
      </c>
      <c r="K192" s="53" t="s">
        <v>394</v>
      </c>
      <c r="L192" s="53">
        <v>42750</v>
      </c>
      <c r="M192" s="54">
        <v>2959.09</v>
      </c>
      <c r="N192" s="54">
        <v>6654.93</v>
      </c>
      <c r="O192" s="54">
        <v>2345.42</v>
      </c>
      <c r="P192" s="54">
        <v>0</v>
      </c>
      <c r="Q192" s="54">
        <v>0</v>
      </c>
      <c r="R192" s="55">
        <f t="shared" si="3"/>
        <v>0</v>
      </c>
      <c r="S192" s="55">
        <f t="shared" si="4"/>
        <v>1</v>
      </c>
      <c r="T192" s="56"/>
      <c r="V192" s="57">
        <v>569</v>
      </c>
      <c r="W192" s="58">
        <f>148.5+72.15</f>
        <v>220.65</v>
      </c>
      <c r="X192" s="58">
        <f>5.05+50.23</f>
        <v>55.279999999999994</v>
      </c>
      <c r="Y192" s="58">
        <v>300.47000000000003</v>
      </c>
      <c r="Z192" s="58">
        <f>186+828.5+178.5+362+111.5</f>
        <v>1666.5</v>
      </c>
      <c r="AA192" s="58">
        <f>2109.4+3651.44</f>
        <v>5760.84</v>
      </c>
      <c r="AB192" s="58">
        <f t="shared" si="37"/>
        <v>8572.74</v>
      </c>
      <c r="AC192" s="58">
        <v>14849.88</v>
      </c>
      <c r="AD192" s="59">
        <v>6.5000000000000002E-2</v>
      </c>
      <c r="AE192" s="60">
        <f t="shared" si="65"/>
        <v>476.00985205479452</v>
      </c>
      <c r="AF192" s="61">
        <v>7215.34</v>
      </c>
      <c r="AG192" s="59">
        <v>6.7500000000000004E-2</v>
      </c>
      <c r="AH192" s="60">
        <f t="shared" si="66"/>
        <v>240.18186575342469</v>
      </c>
      <c r="AI192" s="62">
        <f t="shared" si="67"/>
        <v>22065.22</v>
      </c>
      <c r="AJ192" s="62">
        <f t="shared" si="6"/>
        <v>716.19171780821921</v>
      </c>
      <c r="AK192" s="63">
        <f t="shared" si="40"/>
        <v>716.19171780821921</v>
      </c>
      <c r="AL192" s="64">
        <f t="shared" si="41"/>
        <v>2959.0917178082191</v>
      </c>
      <c r="AP192" s="65">
        <f t="shared" si="8"/>
        <v>1</v>
      </c>
      <c r="AQ192" s="16">
        <f t="shared" si="9"/>
        <v>1</v>
      </c>
      <c r="AR192" s="16">
        <f t="shared" si="10"/>
        <v>1</v>
      </c>
      <c r="AS192" s="66">
        <f t="shared" si="11"/>
        <v>9000.35</v>
      </c>
      <c r="AT192" s="67">
        <f t="shared" si="12"/>
        <v>22065.22</v>
      </c>
      <c r="AU192" s="68">
        <f t="shared" si="13"/>
        <v>4.5999999999999996</v>
      </c>
      <c r="AV192" s="19">
        <f t="shared" si="14"/>
        <v>3.2228208436419531E-3</v>
      </c>
      <c r="AW192" s="69">
        <f t="shared" si="15"/>
        <v>0</v>
      </c>
      <c r="AY192" s="65">
        <f t="shared" si="16"/>
        <v>0</v>
      </c>
      <c r="AZ192" s="16">
        <f t="shared" si="17"/>
        <v>1</v>
      </c>
      <c r="BA192" s="16">
        <f t="shared" si="18"/>
        <v>0</v>
      </c>
      <c r="BB192" s="70">
        <f t="shared" si="19"/>
        <v>0</v>
      </c>
      <c r="BC192" s="67">
        <f t="shared" si="20"/>
        <v>0</v>
      </c>
      <c r="BD192" s="71">
        <f t="shared" si="21"/>
        <v>0</v>
      </c>
      <c r="BE192" s="19">
        <f t="shared" si="22"/>
        <v>0</v>
      </c>
      <c r="BF192" s="69">
        <f t="shared" si="23"/>
        <v>0</v>
      </c>
      <c r="BH192" s="72">
        <f t="shared" si="24"/>
        <v>22065.22</v>
      </c>
      <c r="BI192" s="73">
        <f t="shared" si="25"/>
        <v>1</v>
      </c>
      <c r="BJ192" s="74">
        <f t="shared" si="26"/>
        <v>1.9616402543648709E-3</v>
      </c>
      <c r="BK192" s="75">
        <f t="shared" si="27"/>
        <v>0</v>
      </c>
      <c r="BM192" s="76">
        <f t="shared" si="28"/>
        <v>1</v>
      </c>
    </row>
    <row r="193" spans="1:65" ht="12.75" customHeight="1" x14ac:dyDescent="0.2">
      <c r="A193" s="47"/>
      <c r="B193" s="48" t="s">
        <v>395</v>
      </c>
      <c r="C193" s="49">
        <v>47000</v>
      </c>
      <c r="D193" s="50">
        <v>13</v>
      </c>
      <c r="E193" s="49">
        <v>39017.57</v>
      </c>
      <c r="F193" s="50" t="s">
        <v>55</v>
      </c>
      <c r="G193" s="51">
        <v>43497</v>
      </c>
      <c r="H193" s="52" t="s">
        <v>56</v>
      </c>
      <c r="I193" s="51">
        <v>45168</v>
      </c>
      <c r="J193" s="52">
        <v>11.266666666666667</v>
      </c>
      <c r="K193" s="53" t="s">
        <v>396</v>
      </c>
      <c r="L193" s="53">
        <v>82500</v>
      </c>
      <c r="M193" s="54">
        <v>2987</v>
      </c>
      <c r="N193" s="54">
        <v>11641.51</v>
      </c>
      <c r="O193" s="54">
        <v>4034.36</v>
      </c>
      <c r="P193" s="54">
        <v>0</v>
      </c>
      <c r="Q193" s="54">
        <v>0</v>
      </c>
      <c r="R193" s="55">
        <v>0</v>
      </c>
      <c r="S193" s="55">
        <v>1</v>
      </c>
      <c r="T193" s="56"/>
      <c r="V193" s="57">
        <v>412.5</v>
      </c>
      <c r="W193" s="58">
        <f>352.32</f>
        <v>352.32</v>
      </c>
      <c r="X193" s="58">
        <f>53.54</f>
        <v>53.54</v>
      </c>
      <c r="Y193" s="58"/>
      <c r="Z193" s="58">
        <f>321.5+633.5+365.5</f>
        <v>1320.5</v>
      </c>
      <c r="AA193" s="58">
        <v>9687.31</v>
      </c>
      <c r="AB193" s="58">
        <f t="shared" si="37"/>
        <v>11826.17</v>
      </c>
      <c r="AC193" s="58">
        <v>30310.28</v>
      </c>
      <c r="AD193" s="59">
        <v>6.5000000000000002E-2</v>
      </c>
      <c r="AE193" s="60">
        <f t="shared" si="65"/>
        <v>971.58979726027394</v>
      </c>
      <c r="AF193" s="61">
        <f>42770.1-35231.83</f>
        <v>7538.2699999999968</v>
      </c>
      <c r="AG193" s="59">
        <v>7.7499999999999999E-2</v>
      </c>
      <c r="AH193" s="60">
        <f t="shared" si="66"/>
        <v>288.1064835616437</v>
      </c>
      <c r="AI193" s="62">
        <f t="shared" si="67"/>
        <v>37848.549999999996</v>
      </c>
      <c r="AJ193" s="62">
        <f t="shared" si="6"/>
        <v>1259.6962808219178</v>
      </c>
      <c r="AK193" s="63">
        <f t="shared" si="40"/>
        <v>1259.6962808219178</v>
      </c>
      <c r="AL193" s="64">
        <f t="shared" si="41"/>
        <v>2986.0562808219179</v>
      </c>
      <c r="AP193" s="65">
        <f t="shared" si="8"/>
        <v>1</v>
      </c>
      <c r="AQ193" s="16">
        <f t="shared" si="9"/>
        <v>1</v>
      </c>
      <c r="AR193" s="16">
        <f t="shared" si="10"/>
        <v>1</v>
      </c>
      <c r="AS193" s="66">
        <f t="shared" si="11"/>
        <v>15675.87</v>
      </c>
      <c r="AT193" s="67">
        <f t="shared" si="12"/>
        <v>39017.57</v>
      </c>
      <c r="AU193" s="68">
        <f t="shared" si="13"/>
        <v>11.266666666666667</v>
      </c>
      <c r="AV193" s="19">
        <f t="shared" si="14"/>
        <v>5.6988617319137973E-3</v>
      </c>
      <c r="AW193" s="69">
        <f t="shared" si="15"/>
        <v>0</v>
      </c>
      <c r="AY193" s="65">
        <f t="shared" si="16"/>
        <v>0</v>
      </c>
      <c r="AZ193" s="16">
        <f t="shared" si="17"/>
        <v>1</v>
      </c>
      <c r="BA193" s="16">
        <f t="shared" si="18"/>
        <v>0</v>
      </c>
      <c r="BB193" s="70">
        <f t="shared" si="19"/>
        <v>0</v>
      </c>
      <c r="BC193" s="67">
        <f t="shared" si="20"/>
        <v>0</v>
      </c>
      <c r="BD193" s="71">
        <f t="shared" si="21"/>
        <v>0</v>
      </c>
      <c r="BE193" s="19">
        <f t="shared" si="22"/>
        <v>0</v>
      </c>
      <c r="BF193" s="69">
        <f t="shared" si="23"/>
        <v>0</v>
      </c>
      <c r="BH193" s="72">
        <f t="shared" si="24"/>
        <v>39017.57</v>
      </c>
      <c r="BI193" s="73">
        <f t="shared" si="25"/>
        <v>1</v>
      </c>
      <c r="BJ193" s="74">
        <f t="shared" si="26"/>
        <v>3.468736588146375E-3</v>
      </c>
      <c r="BK193" s="75">
        <f t="shared" si="27"/>
        <v>0</v>
      </c>
      <c r="BM193" s="76">
        <f t="shared" si="28"/>
        <v>1</v>
      </c>
    </row>
    <row r="194" spans="1:65" ht="12.75" customHeight="1" x14ac:dyDescent="0.2">
      <c r="A194" s="47"/>
      <c r="B194" s="48" t="s">
        <v>397</v>
      </c>
      <c r="C194" s="49">
        <v>27000</v>
      </c>
      <c r="D194" s="50">
        <v>13</v>
      </c>
      <c r="E194" s="49">
        <v>24459.97</v>
      </c>
      <c r="F194" s="50" t="s">
        <v>55</v>
      </c>
      <c r="G194" s="51">
        <v>43556</v>
      </c>
      <c r="H194" s="52" t="s">
        <v>56</v>
      </c>
      <c r="I194" s="51">
        <v>43828</v>
      </c>
      <c r="J194" s="52">
        <f t="shared" ref="J194:J216" si="68">IF(I194="Active",0,(IF(I194="N/A","N/A",(I194-G194)/30)))</f>
        <v>9.0666666666666664</v>
      </c>
      <c r="K194" s="53" t="s">
        <v>398</v>
      </c>
      <c r="L194" s="53">
        <v>44000</v>
      </c>
      <c r="M194" s="54">
        <v>1458.37</v>
      </c>
      <c r="N194" s="54">
        <v>5958.97</v>
      </c>
      <c r="O194" s="54">
        <v>1868.0700000000002</v>
      </c>
      <c r="P194" s="54">
        <f t="shared" ref="P194:P318" si="69">IF(L194="N/A",0,IF(L194-E194&gt;0,0,E194-L194))</f>
        <v>0</v>
      </c>
      <c r="Q194" s="54">
        <f t="shared" ref="Q194:Q318" si="70">IF(L194="N/A",0,IF(L194-E194-M194-N194-O194&gt;0,0,(L194-E194-M194-N194-O194)*-1))</f>
        <v>0</v>
      </c>
      <c r="R194" s="55">
        <f t="shared" ref="R194:R318" si="71">IF(J194="N/A","N/A",Q194/E194)</f>
        <v>0</v>
      </c>
      <c r="S194" s="55">
        <f t="shared" ref="S194:S318" si="72">IF(R194="N/A","N/A",MAX(0,1-R194))</f>
        <v>1</v>
      </c>
      <c r="T194" s="56"/>
      <c r="V194" s="57">
        <v>348</v>
      </c>
      <c r="W194" s="58">
        <v>6.72</v>
      </c>
      <c r="X194" s="58">
        <v>24.83</v>
      </c>
      <c r="Y194" s="58"/>
      <c r="Z194" s="58">
        <f>107.88+267.38+94.83+55.1+107.3</f>
        <v>632.4899999999999</v>
      </c>
      <c r="AA194" s="58">
        <f>2513.16+1367.17</f>
        <v>3880.33</v>
      </c>
      <c r="AB194" s="58">
        <f t="shared" si="37"/>
        <v>4892.37</v>
      </c>
      <c r="AC194" s="58">
        <v>16128.44</v>
      </c>
      <c r="AD194" s="59">
        <v>6.5000000000000002E-2</v>
      </c>
      <c r="AE194" s="60">
        <f t="shared" si="65"/>
        <v>516.99383013698628</v>
      </c>
      <c r="AF194" s="61">
        <v>8331.5300000000007</v>
      </c>
      <c r="AG194" s="59">
        <v>6.7500000000000004E-2</v>
      </c>
      <c r="AH194" s="60">
        <f t="shared" si="66"/>
        <v>277.33723150684932</v>
      </c>
      <c r="AI194" s="62">
        <f t="shared" si="67"/>
        <v>24459.97</v>
      </c>
      <c r="AJ194" s="62">
        <f t="shared" si="6"/>
        <v>794.3310616438356</v>
      </c>
      <c r="AK194" s="63">
        <f t="shared" si="40"/>
        <v>794.3310616438356</v>
      </c>
      <c r="AL194" s="64">
        <f t="shared" si="41"/>
        <v>1458.3710616438354</v>
      </c>
      <c r="AP194" s="65">
        <f t="shared" si="8"/>
        <v>1</v>
      </c>
      <c r="AQ194" s="16">
        <f t="shared" si="9"/>
        <v>1</v>
      </c>
      <c r="AR194" s="16">
        <f t="shared" si="10"/>
        <v>1</v>
      </c>
      <c r="AS194" s="66">
        <f t="shared" si="11"/>
        <v>7827.0400000000009</v>
      </c>
      <c r="AT194" s="67">
        <f t="shared" si="12"/>
        <v>24459.97</v>
      </c>
      <c r="AU194" s="68">
        <f t="shared" si="13"/>
        <v>9.0666666666666664</v>
      </c>
      <c r="AV194" s="19">
        <f t="shared" si="14"/>
        <v>3.5725952948058924E-3</v>
      </c>
      <c r="AW194" s="69">
        <f t="shared" si="15"/>
        <v>0</v>
      </c>
      <c r="AY194" s="65">
        <f t="shared" si="16"/>
        <v>0</v>
      </c>
      <c r="AZ194" s="16">
        <f t="shared" si="17"/>
        <v>1</v>
      </c>
      <c r="BA194" s="16">
        <f t="shared" si="18"/>
        <v>0</v>
      </c>
      <c r="BB194" s="70">
        <f t="shared" si="19"/>
        <v>0</v>
      </c>
      <c r="BC194" s="67">
        <f t="shared" si="20"/>
        <v>0</v>
      </c>
      <c r="BD194" s="71">
        <f t="shared" si="21"/>
        <v>0</v>
      </c>
      <c r="BE194" s="19">
        <f t="shared" si="22"/>
        <v>0</v>
      </c>
      <c r="BF194" s="69">
        <f t="shared" si="23"/>
        <v>0</v>
      </c>
      <c r="BH194" s="72">
        <f t="shared" si="24"/>
        <v>24459.97</v>
      </c>
      <c r="BI194" s="73">
        <f t="shared" si="25"/>
        <v>1</v>
      </c>
      <c r="BJ194" s="74">
        <f t="shared" si="26"/>
        <v>2.1745381089586743E-3</v>
      </c>
      <c r="BK194" s="75">
        <f t="shared" si="27"/>
        <v>0</v>
      </c>
      <c r="BM194" s="76">
        <f t="shared" si="28"/>
        <v>1</v>
      </c>
    </row>
    <row r="195" spans="1:65" ht="12.75" customHeight="1" x14ac:dyDescent="0.2">
      <c r="A195" s="47"/>
      <c r="B195" s="48" t="s">
        <v>399</v>
      </c>
      <c r="C195" s="49">
        <v>17997.7</v>
      </c>
      <c r="D195" s="50">
        <v>13</v>
      </c>
      <c r="E195" s="49">
        <v>12460.32</v>
      </c>
      <c r="F195" s="50" t="s">
        <v>55</v>
      </c>
      <c r="G195" s="51">
        <v>43647</v>
      </c>
      <c r="H195" s="52" t="s">
        <v>56</v>
      </c>
      <c r="I195" s="51">
        <v>43739</v>
      </c>
      <c r="J195" s="52">
        <f t="shared" si="68"/>
        <v>3.0666666666666669</v>
      </c>
      <c r="K195" s="53" t="s">
        <v>400</v>
      </c>
      <c r="L195" s="53">
        <v>42500</v>
      </c>
      <c r="M195" s="54">
        <v>854.62</v>
      </c>
      <c r="N195" s="54">
        <v>3079.51</v>
      </c>
      <c r="O195" s="54">
        <v>2383.67</v>
      </c>
      <c r="P195" s="54">
        <f t="shared" si="69"/>
        <v>0</v>
      </c>
      <c r="Q195" s="54">
        <f t="shared" si="70"/>
        <v>0</v>
      </c>
      <c r="R195" s="55">
        <f t="shared" si="71"/>
        <v>0</v>
      </c>
      <c r="S195" s="55">
        <f t="shared" si="72"/>
        <v>1</v>
      </c>
      <c r="T195" s="56"/>
      <c r="V195" s="57">
        <v>302.39999999999998</v>
      </c>
      <c r="W195" s="58"/>
      <c r="X195" s="58">
        <v>21.17</v>
      </c>
      <c r="Y195" s="58"/>
      <c r="Z195" s="58">
        <f>120.96+255.96+87.84</f>
        <v>464.76</v>
      </c>
      <c r="AA195" s="58">
        <v>2273.58</v>
      </c>
      <c r="AB195" s="58">
        <f t="shared" si="37"/>
        <v>3061.9100000000003</v>
      </c>
      <c r="AC195" s="58"/>
      <c r="AD195" s="59">
        <v>0.06</v>
      </c>
      <c r="AE195" s="60">
        <f>((E195*AD195)/365)*180</f>
        <v>368.68892054794526</v>
      </c>
      <c r="AF195" s="61"/>
      <c r="AG195" s="59"/>
      <c r="AH195" s="60">
        <f>((E195*AG195)/365)*180</f>
        <v>0</v>
      </c>
      <c r="AI195" s="62"/>
      <c r="AJ195" s="62">
        <f t="shared" si="6"/>
        <v>368.68892054794526</v>
      </c>
      <c r="AK195" s="63">
        <f t="shared" si="40"/>
        <v>368.68892054794526</v>
      </c>
      <c r="AL195" s="64">
        <f t="shared" si="41"/>
        <v>854.61892054794521</v>
      </c>
      <c r="AP195" s="65">
        <f t="shared" si="8"/>
        <v>1</v>
      </c>
      <c r="AQ195" s="16">
        <f t="shared" si="9"/>
        <v>1</v>
      </c>
      <c r="AR195" s="16">
        <f t="shared" si="10"/>
        <v>1</v>
      </c>
      <c r="AS195" s="66">
        <f t="shared" si="11"/>
        <v>5463.18</v>
      </c>
      <c r="AT195" s="67">
        <f t="shared" si="12"/>
        <v>12460.32</v>
      </c>
      <c r="AU195" s="68"/>
      <c r="AV195" s="19">
        <f t="shared" si="14"/>
        <v>1.8199401145535237E-3</v>
      </c>
      <c r="AW195" s="69">
        <f t="shared" si="15"/>
        <v>0</v>
      </c>
      <c r="AY195" s="65">
        <f t="shared" si="16"/>
        <v>0</v>
      </c>
      <c r="AZ195" s="16">
        <f t="shared" si="17"/>
        <v>1</v>
      </c>
      <c r="BA195" s="16">
        <f t="shared" si="18"/>
        <v>0</v>
      </c>
      <c r="BB195" s="70">
        <f t="shared" si="19"/>
        <v>0</v>
      </c>
      <c r="BC195" s="67">
        <f t="shared" si="20"/>
        <v>0</v>
      </c>
      <c r="BD195" s="71">
        <f t="shared" si="21"/>
        <v>0</v>
      </c>
      <c r="BE195" s="19">
        <f t="shared" si="22"/>
        <v>0</v>
      </c>
      <c r="BF195" s="69">
        <f t="shared" si="23"/>
        <v>0</v>
      </c>
      <c r="BH195" s="72">
        <f t="shared" si="24"/>
        <v>12460.32</v>
      </c>
      <c r="BI195" s="73">
        <f t="shared" si="25"/>
        <v>1</v>
      </c>
      <c r="BJ195" s="74">
        <f t="shared" si="26"/>
        <v>1.1077462764598625E-3</v>
      </c>
      <c r="BK195" s="75">
        <f t="shared" si="27"/>
        <v>0</v>
      </c>
      <c r="BM195" s="76">
        <f t="shared" si="28"/>
        <v>1</v>
      </c>
    </row>
    <row r="196" spans="1:65" ht="12.75" customHeight="1" x14ac:dyDescent="0.2">
      <c r="A196" s="47"/>
      <c r="B196" s="48" t="s">
        <v>401</v>
      </c>
      <c r="C196" s="49">
        <v>17943.64</v>
      </c>
      <c r="D196" s="50">
        <v>13</v>
      </c>
      <c r="E196" s="49">
        <v>16062.61</v>
      </c>
      <c r="F196" s="50" t="s">
        <v>55</v>
      </c>
      <c r="G196" s="51">
        <v>43647</v>
      </c>
      <c r="H196" s="52" t="s">
        <v>56</v>
      </c>
      <c r="I196" s="51">
        <v>43828</v>
      </c>
      <c r="J196" s="52">
        <f t="shared" si="68"/>
        <v>6.0333333333333332</v>
      </c>
      <c r="K196" s="53" t="s">
        <v>402</v>
      </c>
      <c r="L196" s="53">
        <v>32000</v>
      </c>
      <c r="M196" s="54">
        <v>1577.74</v>
      </c>
      <c r="N196" s="54">
        <v>7523.6</v>
      </c>
      <c r="O196" s="54">
        <v>2750</v>
      </c>
      <c r="P196" s="54">
        <f t="shared" si="69"/>
        <v>0</v>
      </c>
      <c r="Q196" s="54">
        <f t="shared" si="70"/>
        <v>0</v>
      </c>
      <c r="R196" s="55">
        <f t="shared" si="71"/>
        <v>0</v>
      </c>
      <c r="S196" s="55">
        <f t="shared" si="72"/>
        <v>1</v>
      </c>
      <c r="T196" s="56"/>
      <c r="V196" s="57">
        <v>660</v>
      </c>
      <c r="W196" s="58"/>
      <c r="X196" s="58">
        <v>46.2</v>
      </c>
      <c r="Y196" s="58"/>
      <c r="Z196" s="58">
        <f>196.35+698.75+30.53+78.26</f>
        <v>1003.89</v>
      </c>
      <c r="AA196" s="58">
        <f>763+4044.27</f>
        <v>4807.2700000000004</v>
      </c>
      <c r="AB196" s="58">
        <f t="shared" si="37"/>
        <v>6517.3600000000006</v>
      </c>
      <c r="AC196" s="58">
        <v>13991.36</v>
      </c>
      <c r="AD196" s="59">
        <v>6.5000000000000002E-2</v>
      </c>
      <c r="AE196" s="60">
        <f t="shared" ref="AE196:AE197" si="73">((AC196*AD196)/365)*180</f>
        <v>448.49016986301376</v>
      </c>
      <c r="AF196" s="61">
        <v>2071.25</v>
      </c>
      <c r="AG196" s="59">
        <v>7.7499999999999999E-2</v>
      </c>
      <c r="AH196" s="60">
        <f t="shared" ref="AH196:AH197" si="74">((AF196*AG196)/365)*180</f>
        <v>79.161472602739721</v>
      </c>
      <c r="AI196" s="62">
        <f t="shared" ref="AI196:AI197" si="75">AC196+AF196</f>
        <v>16062.61</v>
      </c>
      <c r="AJ196" s="62">
        <f t="shared" si="6"/>
        <v>527.65164246575353</v>
      </c>
      <c r="AK196" s="63">
        <f t="shared" si="40"/>
        <v>527.65164246575353</v>
      </c>
      <c r="AL196" s="64">
        <f t="shared" si="41"/>
        <v>1577.7416424657536</v>
      </c>
      <c r="AP196" s="65">
        <f t="shared" si="8"/>
        <v>1</v>
      </c>
      <c r="AQ196" s="16">
        <f t="shared" si="9"/>
        <v>1</v>
      </c>
      <c r="AR196" s="16">
        <f t="shared" si="10"/>
        <v>1</v>
      </c>
      <c r="AS196" s="66">
        <f t="shared" si="11"/>
        <v>10273.6</v>
      </c>
      <c r="AT196" s="67">
        <f t="shared" si="12"/>
        <v>16062.61</v>
      </c>
      <c r="AU196" s="68"/>
      <c r="AV196" s="19">
        <f t="shared" si="14"/>
        <v>2.346086479595113E-3</v>
      </c>
      <c r="AW196" s="69">
        <f t="shared" si="15"/>
        <v>0</v>
      </c>
      <c r="AY196" s="65">
        <f t="shared" si="16"/>
        <v>0</v>
      </c>
      <c r="AZ196" s="16">
        <f t="shared" si="17"/>
        <v>1</v>
      </c>
      <c r="BA196" s="16">
        <f t="shared" si="18"/>
        <v>0</v>
      </c>
      <c r="BB196" s="70">
        <f t="shared" si="19"/>
        <v>0</v>
      </c>
      <c r="BC196" s="67">
        <f t="shared" si="20"/>
        <v>0</v>
      </c>
      <c r="BD196" s="71">
        <f t="shared" si="21"/>
        <v>0</v>
      </c>
      <c r="BE196" s="19">
        <f t="shared" si="22"/>
        <v>0</v>
      </c>
      <c r="BF196" s="69">
        <f t="shared" si="23"/>
        <v>0</v>
      </c>
      <c r="BH196" s="72">
        <f t="shared" si="24"/>
        <v>16062.61</v>
      </c>
      <c r="BI196" s="73">
        <f t="shared" si="25"/>
        <v>1</v>
      </c>
      <c r="BJ196" s="74">
        <f t="shared" si="26"/>
        <v>1.4279967462895778E-3</v>
      </c>
      <c r="BK196" s="75">
        <f t="shared" si="27"/>
        <v>0</v>
      </c>
      <c r="BM196" s="76">
        <f t="shared" si="28"/>
        <v>1</v>
      </c>
    </row>
    <row r="197" spans="1:65" ht="12.75" customHeight="1" x14ac:dyDescent="0.2">
      <c r="A197" s="47"/>
      <c r="B197" s="48" t="s">
        <v>403</v>
      </c>
      <c r="C197" s="49">
        <v>30160.13</v>
      </c>
      <c r="D197" s="50">
        <v>13</v>
      </c>
      <c r="E197" s="49">
        <v>28271.86</v>
      </c>
      <c r="F197" s="50" t="s">
        <v>55</v>
      </c>
      <c r="G197" s="51">
        <v>43709</v>
      </c>
      <c r="H197" s="52" t="s">
        <v>56</v>
      </c>
      <c r="I197" s="51">
        <v>43828</v>
      </c>
      <c r="J197" s="52">
        <f t="shared" si="68"/>
        <v>3.9666666666666668</v>
      </c>
      <c r="K197" s="53" t="s">
        <v>404</v>
      </c>
      <c r="L197" s="53">
        <v>52000</v>
      </c>
      <c r="M197" s="54">
        <v>2206.1</v>
      </c>
      <c r="N197" s="54">
        <v>6310.54</v>
      </c>
      <c r="O197" s="54">
        <v>60</v>
      </c>
      <c r="P197" s="54">
        <f t="shared" si="69"/>
        <v>0</v>
      </c>
      <c r="Q197" s="54">
        <f t="shared" si="70"/>
        <v>0</v>
      </c>
      <c r="R197" s="55">
        <f t="shared" si="71"/>
        <v>0</v>
      </c>
      <c r="S197" s="55">
        <f t="shared" si="72"/>
        <v>1</v>
      </c>
      <c r="T197" s="56"/>
      <c r="V197" s="57">
        <v>304</v>
      </c>
      <c r="W197" s="58"/>
      <c r="X197" s="58">
        <v>21.28</v>
      </c>
      <c r="Y197" s="58">
        <v>446.08</v>
      </c>
      <c r="Z197" s="58">
        <f>120.46+215.08+177.08+139.84+145.54</f>
        <v>798</v>
      </c>
      <c r="AA197" s="58">
        <f>3233.6+2960.91</f>
        <v>6194.51</v>
      </c>
      <c r="AB197" s="58">
        <f t="shared" si="37"/>
        <v>7763.87</v>
      </c>
      <c r="AC197" s="58">
        <v>14284.08</v>
      </c>
      <c r="AD197" s="59">
        <v>6.5000000000000002E-2</v>
      </c>
      <c r="AE197" s="60">
        <f t="shared" si="73"/>
        <v>457.87324931506845</v>
      </c>
      <c r="AF197" s="61">
        <v>13987.78</v>
      </c>
      <c r="AG197" s="59">
        <v>7.0000000000000007E-2</v>
      </c>
      <c r="AH197" s="60">
        <f t="shared" si="74"/>
        <v>482.86583013698629</v>
      </c>
      <c r="AI197" s="62">
        <f t="shared" si="75"/>
        <v>28271.86</v>
      </c>
      <c r="AJ197" s="62">
        <f t="shared" si="6"/>
        <v>940.73907945205474</v>
      </c>
      <c r="AK197" s="63">
        <f t="shared" si="40"/>
        <v>940.73907945205474</v>
      </c>
      <c r="AL197" s="64">
        <f t="shared" si="41"/>
        <v>2206.0990794520549</v>
      </c>
      <c r="AP197" s="65">
        <f t="shared" si="8"/>
        <v>1</v>
      </c>
      <c r="AQ197" s="16">
        <f t="shared" si="9"/>
        <v>1</v>
      </c>
      <c r="AR197" s="16">
        <f t="shared" si="10"/>
        <v>1</v>
      </c>
      <c r="AS197" s="66">
        <f t="shared" si="11"/>
        <v>6370.54</v>
      </c>
      <c r="AT197" s="67">
        <f t="shared" si="12"/>
        <v>28271.86</v>
      </c>
      <c r="AU197" s="68"/>
      <c r="AV197" s="19">
        <f t="shared" si="14"/>
        <v>4.1293555965690436E-3</v>
      </c>
      <c r="AW197" s="69">
        <f t="shared" si="15"/>
        <v>0</v>
      </c>
      <c r="AY197" s="65">
        <f t="shared" si="16"/>
        <v>0</v>
      </c>
      <c r="AZ197" s="16">
        <f t="shared" si="17"/>
        <v>1</v>
      </c>
      <c r="BA197" s="16">
        <f t="shared" si="18"/>
        <v>0</v>
      </c>
      <c r="BB197" s="70">
        <f t="shared" si="19"/>
        <v>0</v>
      </c>
      <c r="BC197" s="67">
        <f t="shared" si="20"/>
        <v>0</v>
      </c>
      <c r="BD197" s="71">
        <f t="shared" si="21"/>
        <v>0</v>
      </c>
      <c r="BE197" s="19">
        <f t="shared" si="22"/>
        <v>0</v>
      </c>
      <c r="BF197" s="69">
        <f t="shared" si="23"/>
        <v>0</v>
      </c>
      <c r="BH197" s="72">
        <f t="shared" si="24"/>
        <v>28271.86</v>
      </c>
      <c r="BI197" s="73">
        <f t="shared" si="25"/>
        <v>1</v>
      </c>
      <c r="BJ197" s="74">
        <f t="shared" si="26"/>
        <v>2.5134224196163928E-3</v>
      </c>
      <c r="BK197" s="75">
        <f t="shared" si="27"/>
        <v>0</v>
      </c>
      <c r="BM197" s="76">
        <f t="shared" si="28"/>
        <v>1</v>
      </c>
    </row>
    <row r="198" spans="1:65" ht="12.75" customHeight="1" x14ac:dyDescent="0.2">
      <c r="A198" s="47"/>
      <c r="B198" s="48" t="s">
        <v>405</v>
      </c>
      <c r="C198" s="49">
        <v>45000</v>
      </c>
      <c r="D198" s="50">
        <v>13</v>
      </c>
      <c r="E198" s="49">
        <v>43317.5</v>
      </c>
      <c r="F198" s="50" t="s">
        <v>55</v>
      </c>
      <c r="G198" s="51">
        <v>43709</v>
      </c>
      <c r="H198" s="52" t="s">
        <v>56</v>
      </c>
      <c r="I198" s="51">
        <v>43893</v>
      </c>
      <c r="J198" s="52">
        <f t="shared" si="68"/>
        <v>6.1333333333333337</v>
      </c>
      <c r="K198" s="53" t="s">
        <v>406</v>
      </c>
      <c r="L198" s="53">
        <v>75000</v>
      </c>
      <c r="M198" s="54">
        <v>1873.94</v>
      </c>
      <c r="N198" s="54">
        <v>6140.41</v>
      </c>
      <c r="O198" s="54">
        <v>2430.88</v>
      </c>
      <c r="P198" s="54">
        <f t="shared" si="69"/>
        <v>0</v>
      </c>
      <c r="Q198" s="54">
        <f t="shared" si="70"/>
        <v>0</v>
      </c>
      <c r="R198" s="55">
        <f t="shared" si="71"/>
        <v>0</v>
      </c>
      <c r="S198" s="55">
        <f t="shared" si="72"/>
        <v>1</v>
      </c>
      <c r="T198" s="56"/>
      <c r="V198" s="57">
        <v>291.33</v>
      </c>
      <c r="W198" s="58"/>
      <c r="X198" s="58">
        <v>20.39</v>
      </c>
      <c r="Y198" s="58"/>
      <c r="Z198" s="58">
        <f>247.32+204.12+141.75</f>
        <v>593.19000000000005</v>
      </c>
      <c r="AA198" s="58">
        <v>5838.85</v>
      </c>
      <c r="AB198" s="58">
        <f t="shared" si="37"/>
        <v>6743.7600000000011</v>
      </c>
      <c r="AC198" s="58"/>
      <c r="AD198" s="59">
        <v>5.8999999999999997E-2</v>
      </c>
      <c r="AE198" s="60">
        <f t="shared" ref="AE198:AE199" si="76">((E198*AD198)/365)*180</f>
        <v>1260.3612328767124</v>
      </c>
      <c r="AF198" s="61"/>
      <c r="AG198" s="59"/>
      <c r="AH198" s="60">
        <f t="shared" ref="AH198:AH199" si="77">((E198*AG198)/365)*180</f>
        <v>0</v>
      </c>
      <c r="AI198" s="62"/>
      <c r="AJ198" s="62">
        <f t="shared" si="6"/>
        <v>1260.3612328767124</v>
      </c>
      <c r="AK198" s="63">
        <f t="shared" si="40"/>
        <v>1260.3612328767124</v>
      </c>
      <c r="AL198" s="64">
        <f t="shared" si="41"/>
        <v>1873.9412328767125</v>
      </c>
      <c r="AP198" s="65">
        <f t="shared" si="8"/>
        <v>1</v>
      </c>
      <c r="AQ198" s="16">
        <f t="shared" si="9"/>
        <v>1</v>
      </c>
      <c r="AR198" s="16">
        <f t="shared" si="10"/>
        <v>1</v>
      </c>
      <c r="AS198" s="66">
        <f t="shared" si="11"/>
        <v>8571.2900000000009</v>
      </c>
      <c r="AT198" s="67">
        <f t="shared" si="12"/>
        <v>43317.5</v>
      </c>
      <c r="AU198" s="68"/>
      <c r="AV198" s="19">
        <f t="shared" si="14"/>
        <v>6.326904598932633E-3</v>
      </c>
      <c r="AW198" s="69">
        <f t="shared" si="15"/>
        <v>0</v>
      </c>
      <c r="AY198" s="65">
        <f t="shared" si="16"/>
        <v>0</v>
      </c>
      <c r="AZ198" s="16">
        <f t="shared" si="17"/>
        <v>1</v>
      </c>
      <c r="BA198" s="16">
        <f t="shared" si="18"/>
        <v>0</v>
      </c>
      <c r="BB198" s="70">
        <f t="shared" si="19"/>
        <v>0</v>
      </c>
      <c r="BC198" s="67">
        <f t="shared" si="20"/>
        <v>0</v>
      </c>
      <c r="BD198" s="71">
        <f t="shared" si="21"/>
        <v>0</v>
      </c>
      <c r="BE198" s="19">
        <f t="shared" si="22"/>
        <v>0</v>
      </c>
      <c r="BF198" s="69">
        <f t="shared" si="23"/>
        <v>0</v>
      </c>
      <c r="BH198" s="72">
        <f t="shared" si="24"/>
        <v>43317.5</v>
      </c>
      <c r="BI198" s="73">
        <f t="shared" si="25"/>
        <v>1</v>
      </c>
      <c r="BJ198" s="74">
        <f t="shared" si="26"/>
        <v>3.8510085881060916E-3</v>
      </c>
      <c r="BK198" s="75">
        <f t="shared" si="27"/>
        <v>0</v>
      </c>
      <c r="BM198" s="76">
        <f t="shared" si="28"/>
        <v>1</v>
      </c>
    </row>
    <row r="199" spans="1:65" ht="12.75" customHeight="1" x14ac:dyDescent="0.2">
      <c r="A199" s="47"/>
      <c r="B199" s="48" t="s">
        <v>407</v>
      </c>
      <c r="C199" s="49">
        <v>30350</v>
      </c>
      <c r="D199" s="50">
        <v>13</v>
      </c>
      <c r="E199" s="49">
        <v>26792.6</v>
      </c>
      <c r="F199" s="50" t="s">
        <v>55</v>
      </c>
      <c r="G199" s="51">
        <v>43739</v>
      </c>
      <c r="H199" s="52" t="s">
        <v>56</v>
      </c>
      <c r="I199" s="51">
        <v>43893</v>
      </c>
      <c r="J199" s="52">
        <f t="shared" si="68"/>
        <v>5.1333333333333337</v>
      </c>
      <c r="K199" s="53" t="s">
        <v>408</v>
      </c>
      <c r="L199" s="53">
        <v>45000</v>
      </c>
      <c r="M199" s="54">
        <v>510.9</v>
      </c>
      <c r="N199" s="54">
        <v>4483.09</v>
      </c>
      <c r="O199" s="54">
        <v>691.65</v>
      </c>
      <c r="P199" s="54">
        <f t="shared" si="69"/>
        <v>0</v>
      </c>
      <c r="Q199" s="54">
        <f t="shared" si="70"/>
        <v>0</v>
      </c>
      <c r="R199" s="55">
        <f t="shared" si="71"/>
        <v>0</v>
      </c>
      <c r="S199" s="55">
        <f t="shared" si="72"/>
        <v>1</v>
      </c>
      <c r="T199" s="56"/>
      <c r="V199" s="57">
        <v>312</v>
      </c>
      <c r="W199" s="58"/>
      <c r="X199" s="58">
        <v>21.84</v>
      </c>
      <c r="Y199" s="58"/>
      <c r="Z199" s="58">
        <f>170.43+136.89+181.74</f>
        <v>489.06</v>
      </c>
      <c r="AA199" s="58"/>
      <c r="AB199" s="58">
        <f t="shared" si="37"/>
        <v>822.9</v>
      </c>
      <c r="AC199" s="58"/>
      <c r="AD199" s="59">
        <v>0</v>
      </c>
      <c r="AE199" s="60">
        <f t="shared" si="76"/>
        <v>0</v>
      </c>
      <c r="AF199" s="61"/>
      <c r="AG199" s="59"/>
      <c r="AH199" s="60">
        <f t="shared" si="77"/>
        <v>0</v>
      </c>
      <c r="AI199" s="62"/>
      <c r="AJ199" s="62">
        <f t="shared" si="6"/>
        <v>0</v>
      </c>
      <c r="AK199" s="63">
        <f t="shared" si="40"/>
        <v>0</v>
      </c>
      <c r="AL199" s="64">
        <f t="shared" si="41"/>
        <v>510.9</v>
      </c>
      <c r="AP199" s="65">
        <f t="shared" si="8"/>
        <v>1</v>
      </c>
      <c r="AQ199" s="16">
        <f t="shared" si="9"/>
        <v>1</v>
      </c>
      <c r="AR199" s="16">
        <f t="shared" si="10"/>
        <v>1</v>
      </c>
      <c r="AS199" s="66">
        <f t="shared" si="11"/>
        <v>5174.74</v>
      </c>
      <c r="AT199" s="67">
        <f t="shared" si="12"/>
        <v>26792.6</v>
      </c>
      <c r="AU199" s="68"/>
      <c r="AV199" s="19">
        <f t="shared" si="14"/>
        <v>3.9132965696857492E-3</v>
      </c>
      <c r="AW199" s="69">
        <f t="shared" si="15"/>
        <v>0</v>
      </c>
      <c r="AY199" s="65">
        <f t="shared" si="16"/>
        <v>0</v>
      </c>
      <c r="AZ199" s="16">
        <f t="shared" si="17"/>
        <v>1</v>
      </c>
      <c r="BA199" s="16">
        <f t="shared" si="18"/>
        <v>0</v>
      </c>
      <c r="BB199" s="70">
        <f t="shared" si="19"/>
        <v>0</v>
      </c>
      <c r="BC199" s="67">
        <f t="shared" si="20"/>
        <v>0</v>
      </c>
      <c r="BD199" s="71">
        <f t="shared" si="21"/>
        <v>0</v>
      </c>
      <c r="BE199" s="19">
        <f t="shared" si="22"/>
        <v>0</v>
      </c>
      <c r="BF199" s="69">
        <f t="shared" si="23"/>
        <v>0</v>
      </c>
      <c r="BH199" s="72">
        <f t="shared" si="24"/>
        <v>26792.6</v>
      </c>
      <c r="BI199" s="73">
        <f t="shared" si="25"/>
        <v>1</v>
      </c>
      <c r="BJ199" s="74">
        <f t="shared" si="26"/>
        <v>2.3819133767574597E-3</v>
      </c>
      <c r="BK199" s="75">
        <f t="shared" si="27"/>
        <v>0</v>
      </c>
      <c r="BM199" s="76">
        <f t="shared" si="28"/>
        <v>1</v>
      </c>
    </row>
    <row r="200" spans="1:65" ht="12.75" customHeight="1" x14ac:dyDescent="0.2">
      <c r="A200" s="47"/>
      <c r="B200" s="48" t="s">
        <v>409</v>
      </c>
      <c r="C200" s="49">
        <v>19350</v>
      </c>
      <c r="D200" s="50">
        <v>13</v>
      </c>
      <c r="E200" s="49">
        <v>15652.08</v>
      </c>
      <c r="F200" s="50" t="s">
        <v>55</v>
      </c>
      <c r="G200" s="51">
        <v>43755</v>
      </c>
      <c r="H200" s="52" t="s">
        <v>56</v>
      </c>
      <c r="I200" s="51">
        <v>43828</v>
      </c>
      <c r="J200" s="52">
        <f t="shared" si="68"/>
        <v>2.4333333333333331</v>
      </c>
      <c r="K200" s="53" t="s">
        <v>410</v>
      </c>
      <c r="L200" s="53">
        <v>50000</v>
      </c>
      <c r="M200" s="54">
        <v>608.91999999999996</v>
      </c>
      <c r="N200" s="54">
        <v>4629.09</v>
      </c>
      <c r="O200" s="54">
        <v>0</v>
      </c>
      <c r="P200" s="54">
        <f t="shared" si="69"/>
        <v>0</v>
      </c>
      <c r="Q200" s="54">
        <f t="shared" si="70"/>
        <v>0</v>
      </c>
      <c r="R200" s="55">
        <f t="shared" si="71"/>
        <v>0</v>
      </c>
      <c r="S200" s="55">
        <f t="shared" si="72"/>
        <v>1</v>
      </c>
      <c r="T200" s="56"/>
      <c r="V200" s="57">
        <v>150</v>
      </c>
      <c r="W200" s="58"/>
      <c r="X200" s="58">
        <v>10.5</v>
      </c>
      <c r="Y200" s="58"/>
      <c r="Z200" s="58">
        <v>71.5</v>
      </c>
      <c r="AA200" s="58">
        <f>650.81+1544.67</f>
        <v>2195.48</v>
      </c>
      <c r="AB200" s="58">
        <f t="shared" si="37"/>
        <v>2427.48</v>
      </c>
      <c r="AC200" s="58">
        <v>11565.25</v>
      </c>
      <c r="AD200" s="59">
        <v>6.5000000000000002E-2</v>
      </c>
      <c r="AE200" s="60">
        <f>((AC200*AD200)/365)*180</f>
        <v>370.72171232876713</v>
      </c>
      <c r="AF200" s="61">
        <v>4086.83</v>
      </c>
      <c r="AG200" s="59">
        <v>7.7499999999999999E-2</v>
      </c>
      <c r="AH200" s="60">
        <f t="shared" ref="AH200:AH205" si="78">((AF200*AG200)/365)*180</f>
        <v>156.19528356164386</v>
      </c>
      <c r="AI200" s="62">
        <f>AC200+AF200</f>
        <v>15652.08</v>
      </c>
      <c r="AJ200" s="62">
        <f t="shared" si="6"/>
        <v>526.91699589041104</v>
      </c>
      <c r="AK200" s="63">
        <f t="shared" si="40"/>
        <v>526.91699589041104</v>
      </c>
      <c r="AL200" s="64">
        <f t="shared" si="41"/>
        <v>608.91699589041104</v>
      </c>
      <c r="AP200" s="65">
        <f t="shared" si="8"/>
        <v>1</v>
      </c>
      <c r="AQ200" s="16">
        <f t="shared" si="9"/>
        <v>1</v>
      </c>
      <c r="AR200" s="16">
        <f t="shared" si="10"/>
        <v>1</v>
      </c>
      <c r="AS200" s="66">
        <f t="shared" si="11"/>
        <v>4629.09</v>
      </c>
      <c r="AT200" s="67">
        <f t="shared" si="12"/>
        <v>15652.08</v>
      </c>
      <c r="AU200" s="68"/>
      <c r="AV200" s="19">
        <f t="shared" si="14"/>
        <v>2.2861249364543542E-3</v>
      </c>
      <c r="AW200" s="69">
        <f t="shared" si="15"/>
        <v>0</v>
      </c>
      <c r="AY200" s="65">
        <f t="shared" si="16"/>
        <v>0</v>
      </c>
      <c r="AZ200" s="16">
        <f t="shared" si="17"/>
        <v>1</v>
      </c>
      <c r="BA200" s="16">
        <f t="shared" si="18"/>
        <v>0</v>
      </c>
      <c r="BB200" s="70">
        <f t="shared" si="19"/>
        <v>0</v>
      </c>
      <c r="BC200" s="67">
        <f t="shared" si="20"/>
        <v>0</v>
      </c>
      <c r="BD200" s="71">
        <f t="shared" si="21"/>
        <v>0</v>
      </c>
      <c r="BE200" s="19">
        <f t="shared" si="22"/>
        <v>0</v>
      </c>
      <c r="BF200" s="69">
        <f t="shared" si="23"/>
        <v>0</v>
      </c>
      <c r="BH200" s="72">
        <f t="shared" si="24"/>
        <v>15652.08</v>
      </c>
      <c r="BI200" s="73">
        <f t="shared" si="25"/>
        <v>1</v>
      </c>
      <c r="BJ200" s="74">
        <f t="shared" si="26"/>
        <v>1.3914998442136227E-3</v>
      </c>
      <c r="BK200" s="75">
        <f t="shared" si="27"/>
        <v>0</v>
      </c>
      <c r="BM200" s="76">
        <f t="shared" si="28"/>
        <v>1</v>
      </c>
    </row>
    <row r="201" spans="1:65" ht="12.75" customHeight="1" x14ac:dyDescent="0.2">
      <c r="A201" s="47"/>
      <c r="B201" s="48" t="s">
        <v>411</v>
      </c>
      <c r="C201" s="49">
        <v>29760</v>
      </c>
      <c r="D201" s="50">
        <v>13</v>
      </c>
      <c r="E201" s="49">
        <v>22425.83</v>
      </c>
      <c r="F201" s="50" t="s">
        <v>55</v>
      </c>
      <c r="G201" s="51">
        <v>43770</v>
      </c>
      <c r="H201" s="52" t="s">
        <v>56</v>
      </c>
      <c r="I201" s="51">
        <v>44273</v>
      </c>
      <c r="J201" s="52">
        <f t="shared" si="68"/>
        <v>16.766666666666666</v>
      </c>
      <c r="K201" s="53" t="s">
        <v>412</v>
      </c>
      <c r="L201" s="53">
        <v>55000</v>
      </c>
      <c r="M201" s="54">
        <v>1635.29</v>
      </c>
      <c r="N201" s="54">
        <v>7865.13</v>
      </c>
      <c r="O201" s="54">
        <v>4525.8900000000003</v>
      </c>
      <c r="P201" s="54">
        <f t="shared" si="69"/>
        <v>0</v>
      </c>
      <c r="Q201" s="54">
        <f t="shared" si="70"/>
        <v>0</v>
      </c>
      <c r="R201" s="55">
        <f t="shared" si="71"/>
        <v>0</v>
      </c>
      <c r="S201" s="55">
        <f t="shared" si="72"/>
        <v>1</v>
      </c>
      <c r="T201" s="56"/>
      <c r="V201" s="57">
        <v>247.5</v>
      </c>
      <c r="W201" s="58"/>
      <c r="X201" s="58">
        <v>17.329999999999998</v>
      </c>
      <c r="Y201" s="58"/>
      <c r="Z201" s="58">
        <f>118.8+590.7+189.6</f>
        <v>899.1</v>
      </c>
      <c r="AA201" s="58">
        <v>3221.94</v>
      </c>
      <c r="AB201" s="58">
        <f t="shared" si="37"/>
        <v>4385.87</v>
      </c>
      <c r="AC201" s="58"/>
      <c r="AD201" s="59">
        <v>6.5000000000000002E-2</v>
      </c>
      <c r="AE201" s="60">
        <f t="shared" ref="AE201:AE204" si="79">((E201*AD201)/365)*180</f>
        <v>718.85537260273975</v>
      </c>
      <c r="AF201" s="61"/>
      <c r="AG201" s="59"/>
      <c r="AH201" s="60">
        <f t="shared" si="78"/>
        <v>0</v>
      </c>
      <c r="AI201" s="62"/>
      <c r="AJ201" s="62">
        <f t="shared" si="6"/>
        <v>718.85537260273975</v>
      </c>
      <c r="AK201" s="63">
        <f t="shared" si="40"/>
        <v>718.85537260273975</v>
      </c>
      <c r="AL201" s="64">
        <f t="shared" si="41"/>
        <v>1635.2853726027397</v>
      </c>
      <c r="AP201" s="65">
        <f t="shared" si="8"/>
        <v>1</v>
      </c>
      <c r="AQ201" s="16">
        <f t="shared" si="9"/>
        <v>1</v>
      </c>
      <c r="AR201" s="16">
        <f t="shared" si="10"/>
        <v>1</v>
      </c>
      <c r="AS201" s="66">
        <f t="shared" si="11"/>
        <v>12391.02</v>
      </c>
      <c r="AT201" s="67">
        <f t="shared" si="12"/>
        <v>22425.83</v>
      </c>
      <c r="AU201" s="68">
        <f t="shared" ref="AU201:AU378" si="80">IF(AR201=1,J201,0)</f>
        <v>16.766666666666666</v>
      </c>
      <c r="AV201" s="19">
        <f t="shared" si="14"/>
        <v>3.2754911285711643E-3</v>
      </c>
      <c r="AW201" s="69">
        <f t="shared" si="15"/>
        <v>0</v>
      </c>
      <c r="AY201" s="65">
        <f t="shared" si="16"/>
        <v>0</v>
      </c>
      <c r="AZ201" s="16">
        <f t="shared" si="17"/>
        <v>1</v>
      </c>
      <c r="BA201" s="16">
        <f t="shared" si="18"/>
        <v>0</v>
      </c>
      <c r="BB201" s="70">
        <f t="shared" si="19"/>
        <v>0</v>
      </c>
      <c r="BC201" s="67">
        <f t="shared" si="20"/>
        <v>0</v>
      </c>
      <c r="BD201" s="71">
        <f t="shared" si="21"/>
        <v>0</v>
      </c>
      <c r="BE201" s="19">
        <f t="shared" si="22"/>
        <v>0</v>
      </c>
      <c r="BF201" s="69">
        <f t="shared" si="23"/>
        <v>0</v>
      </c>
      <c r="BH201" s="72">
        <f t="shared" si="24"/>
        <v>22425.83</v>
      </c>
      <c r="BI201" s="73">
        <f t="shared" si="25"/>
        <v>1</v>
      </c>
      <c r="BJ201" s="74">
        <f t="shared" si="26"/>
        <v>1.9936991729764468E-3</v>
      </c>
      <c r="BK201" s="75">
        <f t="shared" si="27"/>
        <v>0</v>
      </c>
      <c r="BM201" s="76">
        <f t="shared" si="28"/>
        <v>1</v>
      </c>
    </row>
    <row r="202" spans="1:65" ht="12.75" customHeight="1" x14ac:dyDescent="0.2">
      <c r="A202" s="47"/>
      <c r="B202" s="48" t="s">
        <v>413</v>
      </c>
      <c r="C202" s="49">
        <v>24750</v>
      </c>
      <c r="D202" s="50">
        <v>13</v>
      </c>
      <c r="E202" s="49">
        <v>18814.990000000002</v>
      </c>
      <c r="F202" s="50" t="s">
        <v>55</v>
      </c>
      <c r="G202" s="51">
        <v>43790</v>
      </c>
      <c r="H202" s="52" t="s">
        <v>56</v>
      </c>
      <c r="I202" s="51">
        <v>44924</v>
      </c>
      <c r="J202" s="52">
        <f t="shared" si="68"/>
        <v>37.799999999999997</v>
      </c>
      <c r="K202" s="53" t="s">
        <v>414</v>
      </c>
      <c r="L202" s="53">
        <v>45000</v>
      </c>
      <c r="M202" s="54">
        <v>921.76720136986319</v>
      </c>
      <c r="N202" s="54">
        <v>5698.83</v>
      </c>
      <c r="O202" s="54">
        <v>435.35</v>
      </c>
      <c r="P202" s="54">
        <f t="shared" si="69"/>
        <v>0</v>
      </c>
      <c r="Q202" s="54">
        <f t="shared" si="70"/>
        <v>0</v>
      </c>
      <c r="R202" s="55">
        <f t="shared" si="71"/>
        <v>0</v>
      </c>
      <c r="S202" s="55">
        <f t="shared" si="72"/>
        <v>1</v>
      </c>
      <c r="T202" s="56"/>
      <c r="V202" s="57">
        <v>136</v>
      </c>
      <c r="W202" s="58"/>
      <c r="X202" s="58">
        <v>9.52</v>
      </c>
      <c r="Y202" s="58"/>
      <c r="Z202" s="58">
        <f>56.61+159.12+70.21</f>
        <v>285.94</v>
      </c>
      <c r="AA202" s="58">
        <v>1837.17</v>
      </c>
      <c r="AB202" s="58">
        <f t="shared" si="37"/>
        <v>2268.63</v>
      </c>
      <c r="AC202" s="58"/>
      <c r="AD202" s="59">
        <v>6.7500000000000004E-2</v>
      </c>
      <c r="AE202" s="60">
        <f t="shared" si="79"/>
        <v>626.30720136986315</v>
      </c>
      <c r="AF202" s="61"/>
      <c r="AG202" s="59"/>
      <c r="AH202" s="60">
        <f t="shared" si="78"/>
        <v>0</v>
      </c>
      <c r="AI202" s="62"/>
      <c r="AJ202" s="62">
        <f t="shared" si="6"/>
        <v>626.30720136986315</v>
      </c>
      <c r="AK202" s="63">
        <f t="shared" si="40"/>
        <v>626.30720136986315</v>
      </c>
      <c r="AL202" s="64">
        <f t="shared" si="41"/>
        <v>921.76720136986319</v>
      </c>
      <c r="AP202" s="65">
        <f t="shared" si="8"/>
        <v>1</v>
      </c>
      <c r="AQ202" s="16">
        <f t="shared" si="9"/>
        <v>1</v>
      </c>
      <c r="AR202" s="16">
        <f t="shared" si="10"/>
        <v>1</v>
      </c>
      <c r="AS202" s="66">
        <f t="shared" si="11"/>
        <v>6134.18</v>
      </c>
      <c r="AT202" s="67">
        <f t="shared" si="12"/>
        <v>18814.990000000002</v>
      </c>
      <c r="AU202" s="68">
        <f t="shared" si="80"/>
        <v>37.799999999999997</v>
      </c>
      <c r="AV202" s="19">
        <f t="shared" si="14"/>
        <v>2.7480959602902179E-3</v>
      </c>
      <c r="AW202" s="69">
        <f t="shared" si="15"/>
        <v>0</v>
      </c>
      <c r="AY202" s="65">
        <f t="shared" si="16"/>
        <v>0</v>
      </c>
      <c r="AZ202" s="16">
        <f t="shared" si="17"/>
        <v>1</v>
      </c>
      <c r="BA202" s="16">
        <f t="shared" si="18"/>
        <v>0</v>
      </c>
      <c r="BB202" s="70">
        <f t="shared" si="19"/>
        <v>0</v>
      </c>
      <c r="BC202" s="67">
        <f t="shared" si="20"/>
        <v>0</v>
      </c>
      <c r="BD202" s="71">
        <f t="shared" si="21"/>
        <v>0</v>
      </c>
      <c r="BE202" s="19">
        <f t="shared" si="22"/>
        <v>0</v>
      </c>
      <c r="BF202" s="69">
        <f t="shared" si="23"/>
        <v>0</v>
      </c>
      <c r="BH202" s="72">
        <f t="shared" si="24"/>
        <v>18814.990000000002</v>
      </c>
      <c r="BI202" s="73">
        <f t="shared" si="25"/>
        <v>1</v>
      </c>
      <c r="BJ202" s="74">
        <f t="shared" si="26"/>
        <v>1.6726885917961619E-3</v>
      </c>
      <c r="BK202" s="75">
        <f t="shared" si="27"/>
        <v>0</v>
      </c>
      <c r="BM202" s="76">
        <f t="shared" si="28"/>
        <v>1</v>
      </c>
    </row>
    <row r="203" spans="1:65" ht="12.75" customHeight="1" x14ac:dyDescent="0.2">
      <c r="A203" s="47"/>
      <c r="B203" s="48" t="s">
        <v>415</v>
      </c>
      <c r="C203" s="49">
        <v>53181.81</v>
      </c>
      <c r="D203" s="50">
        <v>13</v>
      </c>
      <c r="E203" s="49">
        <v>46976.42</v>
      </c>
      <c r="F203" s="50" t="s">
        <v>55</v>
      </c>
      <c r="G203" s="51">
        <v>43796</v>
      </c>
      <c r="H203" s="52" t="s">
        <v>56</v>
      </c>
      <c r="I203" s="51">
        <v>44714</v>
      </c>
      <c r="J203" s="52">
        <f t="shared" si="68"/>
        <v>30.6</v>
      </c>
      <c r="K203" s="53" t="s">
        <v>416</v>
      </c>
      <c r="L203" s="53">
        <v>73000</v>
      </c>
      <c r="M203" s="54">
        <v>1712.31</v>
      </c>
      <c r="N203" s="54">
        <v>3955.78</v>
      </c>
      <c r="O203" s="54">
        <v>4062</v>
      </c>
      <c r="P203" s="54">
        <f t="shared" si="69"/>
        <v>0</v>
      </c>
      <c r="Q203" s="54">
        <f t="shared" si="70"/>
        <v>0</v>
      </c>
      <c r="R203" s="55">
        <f t="shared" si="71"/>
        <v>0</v>
      </c>
      <c r="S203" s="55">
        <f t="shared" si="72"/>
        <v>1</v>
      </c>
      <c r="T203" s="56"/>
      <c r="V203" s="57">
        <v>208</v>
      </c>
      <c r="W203" s="58"/>
      <c r="X203" s="58">
        <v>14.56</v>
      </c>
      <c r="Y203" s="58"/>
      <c r="Z203" s="58">
        <f>185.64+755.3+235.56</f>
        <v>1176.5</v>
      </c>
      <c r="AA203" s="58">
        <v>2354.29</v>
      </c>
      <c r="AB203" s="58">
        <f t="shared" si="37"/>
        <v>3753.35</v>
      </c>
      <c r="AC203" s="58"/>
      <c r="AD203" s="59">
        <v>2.2499999999999999E-2</v>
      </c>
      <c r="AE203" s="60">
        <f t="shared" si="79"/>
        <v>521.24520821917793</v>
      </c>
      <c r="AF203" s="61"/>
      <c r="AG203" s="59"/>
      <c r="AH203" s="60">
        <f t="shared" si="78"/>
        <v>0</v>
      </c>
      <c r="AI203" s="62"/>
      <c r="AJ203" s="62">
        <f t="shared" si="6"/>
        <v>521.24520821917793</v>
      </c>
      <c r="AK203" s="63">
        <f t="shared" si="40"/>
        <v>521.24520821917793</v>
      </c>
      <c r="AL203" s="64">
        <f t="shared" si="41"/>
        <v>1712.305208219178</v>
      </c>
      <c r="AP203" s="65">
        <f t="shared" si="8"/>
        <v>1</v>
      </c>
      <c r="AQ203" s="16">
        <f t="shared" si="9"/>
        <v>1</v>
      </c>
      <c r="AR203" s="16">
        <f t="shared" si="10"/>
        <v>1</v>
      </c>
      <c r="AS203" s="66">
        <f t="shared" si="11"/>
        <v>8017.7800000000007</v>
      </c>
      <c r="AT203" s="67">
        <f t="shared" si="12"/>
        <v>46976.42</v>
      </c>
      <c r="AU203" s="68">
        <f t="shared" si="80"/>
        <v>30.6</v>
      </c>
      <c r="AV203" s="19">
        <f t="shared" si="14"/>
        <v>6.8613222771256631E-3</v>
      </c>
      <c r="AW203" s="69">
        <f t="shared" si="15"/>
        <v>0</v>
      </c>
      <c r="AY203" s="65">
        <f t="shared" si="16"/>
        <v>0</v>
      </c>
      <c r="AZ203" s="16">
        <f t="shared" si="17"/>
        <v>1</v>
      </c>
      <c r="BA203" s="16">
        <f t="shared" si="18"/>
        <v>0</v>
      </c>
      <c r="BB203" s="70">
        <f t="shared" si="19"/>
        <v>0</v>
      </c>
      <c r="BC203" s="67">
        <f t="shared" si="20"/>
        <v>0</v>
      </c>
      <c r="BD203" s="71">
        <f t="shared" si="21"/>
        <v>0</v>
      </c>
      <c r="BE203" s="19">
        <f t="shared" si="22"/>
        <v>0</v>
      </c>
      <c r="BF203" s="69">
        <f t="shared" si="23"/>
        <v>0</v>
      </c>
      <c r="BH203" s="72">
        <f t="shared" si="24"/>
        <v>46976.42</v>
      </c>
      <c r="BI203" s="73">
        <f t="shared" si="25"/>
        <v>1</v>
      </c>
      <c r="BJ203" s="74">
        <f t="shared" si="26"/>
        <v>4.1762935732320367E-3</v>
      </c>
      <c r="BK203" s="75">
        <f t="shared" si="27"/>
        <v>0</v>
      </c>
      <c r="BM203" s="76">
        <f t="shared" si="28"/>
        <v>1</v>
      </c>
    </row>
    <row r="204" spans="1:65" ht="12.75" customHeight="1" x14ac:dyDescent="0.2">
      <c r="A204" s="47"/>
      <c r="B204" s="48" t="s">
        <v>417</v>
      </c>
      <c r="C204" s="49">
        <v>27392.97</v>
      </c>
      <c r="D204" s="50">
        <v>13</v>
      </c>
      <c r="E204" s="49">
        <v>27681.5</v>
      </c>
      <c r="F204" s="50" t="s">
        <v>63</v>
      </c>
      <c r="G204" s="51">
        <v>43804</v>
      </c>
      <c r="H204" s="52" t="s">
        <v>56</v>
      </c>
      <c r="I204" s="51">
        <v>44923</v>
      </c>
      <c r="J204" s="52">
        <f t="shared" si="68"/>
        <v>37.299999999999997</v>
      </c>
      <c r="K204" s="53" t="s">
        <v>418</v>
      </c>
      <c r="L204" s="53">
        <v>40500</v>
      </c>
      <c r="M204" s="54">
        <v>1672.59</v>
      </c>
      <c r="N204" s="54">
        <v>5202.5120000000006</v>
      </c>
      <c r="O204" s="54">
        <v>210</v>
      </c>
      <c r="P204" s="54">
        <f t="shared" si="69"/>
        <v>0</v>
      </c>
      <c r="Q204" s="54">
        <f t="shared" si="70"/>
        <v>0</v>
      </c>
      <c r="R204" s="55">
        <f t="shared" si="71"/>
        <v>0</v>
      </c>
      <c r="S204" s="55">
        <f t="shared" si="72"/>
        <v>1</v>
      </c>
      <c r="T204" s="56"/>
      <c r="V204" s="57">
        <v>264</v>
      </c>
      <c r="W204" s="58">
        <v>10.27</v>
      </c>
      <c r="X204" s="58">
        <v>19.2</v>
      </c>
      <c r="Y204" s="58"/>
      <c r="Z204" s="58">
        <f>162.36+355.74+161.7</f>
        <v>679.8</v>
      </c>
      <c r="AA204" s="58">
        <f>2999.32+1090.7</f>
        <v>4090.0200000000004</v>
      </c>
      <c r="AB204" s="58">
        <f t="shared" si="37"/>
        <v>5063.2900000000009</v>
      </c>
      <c r="AC204" s="58">
        <v>24373.17</v>
      </c>
      <c r="AD204" s="59">
        <v>6.25E-2</v>
      </c>
      <c r="AE204" s="60">
        <f t="shared" si="79"/>
        <v>853.19691780821915</v>
      </c>
      <c r="AF204" s="61">
        <v>3308.33</v>
      </c>
      <c r="AG204" s="59">
        <v>6.7500000000000004E-2</v>
      </c>
      <c r="AH204" s="60">
        <f t="shared" si="78"/>
        <v>110.12660136986302</v>
      </c>
      <c r="AI204" s="62">
        <f t="shared" ref="AI204:AI205" si="81">AC204+AF204</f>
        <v>27681.5</v>
      </c>
      <c r="AJ204" s="62">
        <f t="shared" si="6"/>
        <v>963.32351917808217</v>
      </c>
      <c r="AK204" s="63">
        <f t="shared" si="40"/>
        <v>963.32351917808217</v>
      </c>
      <c r="AL204" s="64">
        <f t="shared" si="41"/>
        <v>1672.5935191780823</v>
      </c>
      <c r="AP204" s="65">
        <f t="shared" si="8"/>
        <v>0</v>
      </c>
      <c r="AQ204" s="16">
        <f t="shared" si="9"/>
        <v>1</v>
      </c>
      <c r="AR204" s="16">
        <f t="shared" si="10"/>
        <v>0</v>
      </c>
      <c r="AS204" s="66">
        <f t="shared" si="11"/>
        <v>0</v>
      </c>
      <c r="AT204" s="67">
        <f t="shared" si="12"/>
        <v>0</v>
      </c>
      <c r="AU204" s="68">
        <f t="shared" si="80"/>
        <v>0</v>
      </c>
      <c r="AV204" s="19">
        <f t="shared" si="14"/>
        <v>0</v>
      </c>
      <c r="AW204" s="69">
        <f t="shared" si="15"/>
        <v>0</v>
      </c>
      <c r="AY204" s="65">
        <f t="shared" si="16"/>
        <v>1</v>
      </c>
      <c r="AZ204" s="16">
        <f t="shared" si="17"/>
        <v>1</v>
      </c>
      <c r="BA204" s="16">
        <f t="shared" si="18"/>
        <v>1</v>
      </c>
      <c r="BB204" s="70">
        <f t="shared" si="19"/>
        <v>5412.5120000000006</v>
      </c>
      <c r="BC204" s="67">
        <f t="shared" si="20"/>
        <v>27681.5</v>
      </c>
      <c r="BD204" s="71">
        <f t="shared" si="21"/>
        <v>37.299999999999997</v>
      </c>
      <c r="BE204" s="19">
        <f t="shared" si="22"/>
        <v>6.2886816309596248E-3</v>
      </c>
      <c r="BF204" s="69">
        <f t="shared" si="23"/>
        <v>0</v>
      </c>
      <c r="BH204" s="72">
        <f t="shared" si="24"/>
        <v>27681.5</v>
      </c>
      <c r="BI204" s="73">
        <f t="shared" si="25"/>
        <v>1</v>
      </c>
      <c r="BJ204" s="74">
        <f t="shared" si="26"/>
        <v>2.4609382866430146E-3</v>
      </c>
      <c r="BK204" s="75">
        <f t="shared" si="27"/>
        <v>0</v>
      </c>
      <c r="BM204" s="76">
        <f t="shared" si="28"/>
        <v>1</v>
      </c>
    </row>
    <row r="205" spans="1:65" ht="12.75" customHeight="1" x14ac:dyDescent="0.2">
      <c r="A205" s="47"/>
      <c r="B205" s="48" t="s">
        <v>419</v>
      </c>
      <c r="C205" s="49">
        <v>25800</v>
      </c>
      <c r="D205" s="50">
        <v>13</v>
      </c>
      <c r="E205" s="49">
        <v>24436.48</v>
      </c>
      <c r="F205" s="50" t="s">
        <v>55</v>
      </c>
      <c r="G205" s="51">
        <v>43825</v>
      </c>
      <c r="H205" s="52" t="s">
        <v>56</v>
      </c>
      <c r="I205" s="51">
        <v>44084</v>
      </c>
      <c r="J205" s="52">
        <f t="shared" si="68"/>
        <v>8.6333333333333329</v>
      </c>
      <c r="K205" s="53" t="s">
        <v>420</v>
      </c>
      <c r="L205" s="53">
        <v>45500</v>
      </c>
      <c r="M205" s="54">
        <v>1688.91</v>
      </c>
      <c r="N205" s="54">
        <v>5974.48</v>
      </c>
      <c r="O205" s="54">
        <v>570</v>
      </c>
      <c r="P205" s="54">
        <f t="shared" si="69"/>
        <v>0</v>
      </c>
      <c r="Q205" s="54">
        <f t="shared" si="70"/>
        <v>0</v>
      </c>
      <c r="R205" s="55">
        <f t="shared" si="71"/>
        <v>0</v>
      </c>
      <c r="S205" s="55">
        <f t="shared" si="72"/>
        <v>1</v>
      </c>
      <c r="T205" s="56"/>
      <c r="V205" s="57">
        <v>259.25</v>
      </c>
      <c r="W205" s="58"/>
      <c r="X205" s="58">
        <v>18.149999999999999</v>
      </c>
      <c r="Y205" s="58"/>
      <c r="Z205" s="58">
        <f>249.39+359.9+273.89+2.02+2.02</f>
        <v>887.21999999999991</v>
      </c>
      <c r="AA205" s="58">
        <f>8305.57+53.11</f>
        <v>8358.68</v>
      </c>
      <c r="AB205" s="58">
        <f t="shared" si="37"/>
        <v>9523.2999999999993</v>
      </c>
      <c r="AC205" s="58">
        <v>24346.13</v>
      </c>
      <c r="AD205" s="59">
        <v>6.5000000000000002E-2</v>
      </c>
      <c r="AE205" s="60">
        <f>((AC205*AD205)/365)*180</f>
        <v>780.41019452054786</v>
      </c>
      <c r="AF205" s="61">
        <v>90.71</v>
      </c>
      <c r="AG205" s="59">
        <v>7.0000000000000007E-2</v>
      </c>
      <c r="AH205" s="60">
        <f t="shared" si="78"/>
        <v>3.1313589041095891</v>
      </c>
      <c r="AI205" s="62">
        <f t="shared" si="81"/>
        <v>24436.84</v>
      </c>
      <c r="AJ205" s="62">
        <f t="shared" si="6"/>
        <v>783.54155342465742</v>
      </c>
      <c r="AK205" s="63">
        <f t="shared" si="40"/>
        <v>783.54155342465742</v>
      </c>
      <c r="AL205" s="64">
        <f t="shared" si="41"/>
        <v>1688.9115534246573</v>
      </c>
      <c r="AP205" s="65">
        <f t="shared" si="8"/>
        <v>1</v>
      </c>
      <c r="AQ205" s="16">
        <f t="shared" si="9"/>
        <v>1</v>
      </c>
      <c r="AR205" s="16">
        <f t="shared" si="10"/>
        <v>1</v>
      </c>
      <c r="AS205" s="66">
        <f t="shared" si="11"/>
        <v>6544.48</v>
      </c>
      <c r="AT205" s="67">
        <f t="shared" si="12"/>
        <v>24436.48</v>
      </c>
      <c r="AU205" s="68">
        <f t="shared" si="80"/>
        <v>8.6333333333333329</v>
      </c>
      <c r="AV205" s="19">
        <f t="shared" si="14"/>
        <v>3.5691643722219725E-3</v>
      </c>
      <c r="AW205" s="69">
        <f t="shared" si="15"/>
        <v>0</v>
      </c>
      <c r="AY205" s="65">
        <f t="shared" si="16"/>
        <v>0</v>
      </c>
      <c r="AZ205" s="16">
        <f t="shared" si="17"/>
        <v>1</v>
      </c>
      <c r="BA205" s="16">
        <f t="shared" si="18"/>
        <v>0</v>
      </c>
      <c r="BB205" s="70">
        <f t="shared" si="19"/>
        <v>0</v>
      </c>
      <c r="BC205" s="67">
        <f t="shared" si="20"/>
        <v>0</v>
      </c>
      <c r="BD205" s="71">
        <f t="shared" si="21"/>
        <v>0</v>
      </c>
      <c r="BE205" s="19">
        <f t="shared" si="22"/>
        <v>0</v>
      </c>
      <c r="BF205" s="69">
        <f t="shared" si="23"/>
        <v>0</v>
      </c>
      <c r="BH205" s="72">
        <f t="shared" si="24"/>
        <v>24436.48</v>
      </c>
      <c r="BI205" s="73">
        <f t="shared" si="25"/>
        <v>1</v>
      </c>
      <c r="BJ205" s="74">
        <f t="shared" si="26"/>
        <v>2.172449803037635E-3</v>
      </c>
      <c r="BK205" s="75">
        <f t="shared" si="27"/>
        <v>0</v>
      </c>
      <c r="BM205" s="76">
        <f t="shared" si="28"/>
        <v>1</v>
      </c>
    </row>
    <row r="206" spans="1:65" ht="12.75" customHeight="1" x14ac:dyDescent="0.2">
      <c r="A206" s="47"/>
      <c r="B206" s="48" t="s">
        <v>421</v>
      </c>
      <c r="C206" s="49">
        <v>34636.839999999997</v>
      </c>
      <c r="D206" s="50">
        <v>13</v>
      </c>
      <c r="E206" s="49">
        <v>30797.01</v>
      </c>
      <c r="F206" s="50" t="s">
        <v>55</v>
      </c>
      <c r="G206" s="51">
        <v>43843</v>
      </c>
      <c r="H206" s="52" t="s">
        <v>56</v>
      </c>
      <c r="I206" s="51">
        <v>44333</v>
      </c>
      <c r="J206" s="52">
        <f t="shared" si="68"/>
        <v>16.333333333333332</v>
      </c>
      <c r="K206" s="53" t="s">
        <v>422</v>
      </c>
      <c r="L206" s="53">
        <v>45000</v>
      </c>
      <c r="M206" s="54">
        <v>351.99999999999994</v>
      </c>
      <c r="N206" s="54">
        <v>6063.63</v>
      </c>
      <c r="O206" s="54">
        <v>1200</v>
      </c>
      <c r="P206" s="54">
        <f t="shared" si="69"/>
        <v>0</v>
      </c>
      <c r="Q206" s="54">
        <f t="shared" si="70"/>
        <v>0</v>
      </c>
      <c r="R206" s="55">
        <f t="shared" si="71"/>
        <v>0</v>
      </c>
      <c r="S206" s="55">
        <f t="shared" si="72"/>
        <v>1</v>
      </c>
      <c r="T206" s="56"/>
      <c r="V206" s="57">
        <v>176</v>
      </c>
      <c r="W206" s="58"/>
      <c r="X206" s="58">
        <v>12.32</v>
      </c>
      <c r="Y206" s="58"/>
      <c r="Z206" s="58">
        <f>102.3+128.04+109.34</f>
        <v>339.67999999999995</v>
      </c>
      <c r="AA206" s="58"/>
      <c r="AB206" s="58">
        <f t="shared" si="37"/>
        <v>528</v>
      </c>
      <c r="AC206" s="58"/>
      <c r="AD206" s="59">
        <v>0</v>
      </c>
      <c r="AE206" s="60">
        <f t="shared" ref="AE206:AE219" si="82">((E206*AD206)/365)*180</f>
        <v>0</v>
      </c>
      <c r="AF206" s="61"/>
      <c r="AG206" s="59"/>
      <c r="AH206" s="60">
        <f t="shared" ref="AH206:AH219" si="83">((E206*AG206)/365)*180</f>
        <v>0</v>
      </c>
      <c r="AI206" s="62"/>
      <c r="AJ206" s="62">
        <f t="shared" si="6"/>
        <v>0</v>
      </c>
      <c r="AK206" s="63">
        <f t="shared" si="40"/>
        <v>0</v>
      </c>
      <c r="AL206" s="64">
        <f t="shared" si="41"/>
        <v>351.99999999999994</v>
      </c>
      <c r="AP206" s="65">
        <f t="shared" si="8"/>
        <v>1</v>
      </c>
      <c r="AQ206" s="16">
        <f t="shared" si="9"/>
        <v>1</v>
      </c>
      <c r="AR206" s="16">
        <f t="shared" si="10"/>
        <v>1</v>
      </c>
      <c r="AS206" s="66">
        <f t="shared" si="11"/>
        <v>7263.63</v>
      </c>
      <c r="AT206" s="67">
        <f t="shared" si="12"/>
        <v>30797.01</v>
      </c>
      <c r="AU206" s="68">
        <f t="shared" si="80"/>
        <v>16.333333333333332</v>
      </c>
      <c r="AV206" s="19">
        <f t="shared" si="14"/>
        <v>4.498176122868916E-3</v>
      </c>
      <c r="AW206" s="69">
        <f t="shared" si="15"/>
        <v>0</v>
      </c>
      <c r="AY206" s="65">
        <f t="shared" si="16"/>
        <v>0</v>
      </c>
      <c r="AZ206" s="16">
        <f t="shared" si="17"/>
        <v>1</v>
      </c>
      <c r="BA206" s="16">
        <f t="shared" si="18"/>
        <v>0</v>
      </c>
      <c r="BB206" s="70">
        <f t="shared" si="19"/>
        <v>0</v>
      </c>
      <c r="BC206" s="67">
        <f t="shared" si="20"/>
        <v>0</v>
      </c>
      <c r="BD206" s="71">
        <f t="shared" si="21"/>
        <v>0</v>
      </c>
      <c r="BE206" s="19">
        <f t="shared" si="22"/>
        <v>0</v>
      </c>
      <c r="BF206" s="69">
        <f t="shared" si="23"/>
        <v>0</v>
      </c>
      <c r="BH206" s="72">
        <f t="shared" si="24"/>
        <v>30797.01</v>
      </c>
      <c r="BI206" s="73">
        <f t="shared" si="25"/>
        <v>1</v>
      </c>
      <c r="BJ206" s="74">
        <f t="shared" si="26"/>
        <v>2.7379130835802892E-3</v>
      </c>
      <c r="BK206" s="75">
        <f t="shared" si="27"/>
        <v>0</v>
      </c>
      <c r="BM206" s="76">
        <f t="shared" si="28"/>
        <v>1</v>
      </c>
    </row>
    <row r="207" spans="1:65" ht="12.75" customHeight="1" x14ac:dyDescent="0.2">
      <c r="A207" s="47"/>
      <c r="B207" s="48" t="s">
        <v>423</v>
      </c>
      <c r="C207" s="49">
        <v>39584.879999999997</v>
      </c>
      <c r="D207" s="50">
        <v>13</v>
      </c>
      <c r="E207" s="49">
        <v>35528.199999999997</v>
      </c>
      <c r="F207" s="50" t="s">
        <v>55</v>
      </c>
      <c r="G207" s="51">
        <v>43843</v>
      </c>
      <c r="H207" s="52" t="s">
        <v>56</v>
      </c>
      <c r="I207" s="51">
        <v>44348</v>
      </c>
      <c r="J207" s="52">
        <f t="shared" si="68"/>
        <v>16.833333333333332</v>
      </c>
      <c r="K207" s="53" t="s">
        <v>424</v>
      </c>
      <c r="L207" s="53">
        <v>45000</v>
      </c>
      <c r="M207" s="54">
        <v>393.24</v>
      </c>
      <c r="N207" s="54">
        <v>8235.1200000000008</v>
      </c>
      <c r="O207" s="54">
        <v>2000</v>
      </c>
      <c r="P207" s="54">
        <f t="shared" si="69"/>
        <v>0</v>
      </c>
      <c r="Q207" s="54">
        <f t="shared" si="70"/>
        <v>1156.5599999999977</v>
      </c>
      <c r="R207" s="55">
        <f t="shared" si="71"/>
        <v>3.2553295691872874E-2</v>
      </c>
      <c r="S207" s="55">
        <f t="shared" si="72"/>
        <v>0.96744670430812718</v>
      </c>
      <c r="T207" s="56"/>
      <c r="V207" s="57">
        <v>273</v>
      </c>
      <c r="W207" s="58"/>
      <c r="X207" s="58">
        <v>19.11</v>
      </c>
      <c r="Y207" s="58"/>
      <c r="Z207" s="58">
        <f>119.91+122.22+88.2</f>
        <v>330.33</v>
      </c>
      <c r="AA207" s="58">
        <v>159.38999999999999</v>
      </c>
      <c r="AB207" s="58">
        <f t="shared" si="37"/>
        <v>781.82999999999993</v>
      </c>
      <c r="AC207" s="58"/>
      <c r="AD207" s="59">
        <v>2.5000000000000001E-3</v>
      </c>
      <c r="AE207" s="60">
        <f t="shared" si="82"/>
        <v>43.801890410958904</v>
      </c>
      <c r="AF207" s="61"/>
      <c r="AG207" s="59"/>
      <c r="AH207" s="60">
        <f t="shared" si="83"/>
        <v>0</v>
      </c>
      <c r="AI207" s="62"/>
      <c r="AJ207" s="62">
        <f t="shared" si="6"/>
        <v>43.801890410958904</v>
      </c>
      <c r="AK207" s="63">
        <f t="shared" si="40"/>
        <v>43.801890410958904</v>
      </c>
      <c r="AL207" s="64">
        <f t="shared" si="41"/>
        <v>393.24189041095889</v>
      </c>
      <c r="AP207" s="65">
        <f t="shared" si="8"/>
        <v>1</v>
      </c>
      <c r="AQ207" s="16">
        <f t="shared" si="9"/>
        <v>1</v>
      </c>
      <c r="AR207" s="16">
        <f t="shared" si="10"/>
        <v>1</v>
      </c>
      <c r="AS207" s="66">
        <f t="shared" si="11"/>
        <v>10235.120000000001</v>
      </c>
      <c r="AT207" s="67">
        <f t="shared" si="12"/>
        <v>35528.199999999997</v>
      </c>
      <c r="AU207" s="68">
        <f t="shared" si="80"/>
        <v>16.833333333333332</v>
      </c>
      <c r="AV207" s="19">
        <f t="shared" si="14"/>
        <v>5.189208333163233E-3</v>
      </c>
      <c r="AW207" s="69">
        <f t="shared" si="15"/>
        <v>1.6892583327619349E-4</v>
      </c>
      <c r="AY207" s="65">
        <f t="shared" si="16"/>
        <v>0</v>
      </c>
      <c r="AZ207" s="16">
        <f t="shared" si="17"/>
        <v>1</v>
      </c>
      <c r="BA207" s="16">
        <f t="shared" si="18"/>
        <v>0</v>
      </c>
      <c r="BB207" s="70">
        <f t="shared" si="19"/>
        <v>0</v>
      </c>
      <c r="BC207" s="67">
        <f t="shared" si="20"/>
        <v>0</v>
      </c>
      <c r="BD207" s="71">
        <f t="shared" si="21"/>
        <v>0</v>
      </c>
      <c r="BE207" s="19">
        <f t="shared" si="22"/>
        <v>0</v>
      </c>
      <c r="BF207" s="69">
        <f t="shared" si="23"/>
        <v>0</v>
      </c>
      <c r="BH207" s="72">
        <f t="shared" si="24"/>
        <v>35528.199999999997</v>
      </c>
      <c r="BI207" s="73">
        <f t="shared" si="25"/>
        <v>1</v>
      </c>
      <c r="BJ207" s="74">
        <f t="shared" si="26"/>
        <v>3.1585249222589218E-3</v>
      </c>
      <c r="BK207" s="75">
        <f t="shared" si="27"/>
        <v>1.0282039574444447E-4</v>
      </c>
      <c r="BM207" s="76">
        <f t="shared" si="28"/>
        <v>1</v>
      </c>
    </row>
    <row r="208" spans="1:65" ht="12.75" customHeight="1" x14ac:dyDescent="0.2">
      <c r="A208" s="47"/>
      <c r="B208" s="48" t="s">
        <v>425</v>
      </c>
      <c r="C208" s="49">
        <v>31146.61</v>
      </c>
      <c r="D208" s="50">
        <v>13</v>
      </c>
      <c r="E208" s="49">
        <v>25863.87</v>
      </c>
      <c r="F208" s="50" t="s">
        <v>55</v>
      </c>
      <c r="G208" s="51">
        <v>43843</v>
      </c>
      <c r="H208" s="52" t="s">
        <v>56</v>
      </c>
      <c r="I208" s="51">
        <v>44452</v>
      </c>
      <c r="J208" s="52">
        <f t="shared" si="68"/>
        <v>20.3</v>
      </c>
      <c r="K208" s="53" t="s">
        <v>426</v>
      </c>
      <c r="L208" s="53">
        <v>43000</v>
      </c>
      <c r="M208" s="54">
        <v>404.09999999999997</v>
      </c>
      <c r="N208" s="54">
        <v>7434.09</v>
      </c>
      <c r="O208" s="54">
        <v>2359</v>
      </c>
      <c r="P208" s="54">
        <f t="shared" si="69"/>
        <v>0</v>
      </c>
      <c r="Q208" s="54">
        <f t="shared" si="70"/>
        <v>0</v>
      </c>
      <c r="R208" s="55">
        <f t="shared" si="71"/>
        <v>0</v>
      </c>
      <c r="S208" s="55">
        <f t="shared" si="72"/>
        <v>1</v>
      </c>
      <c r="T208" s="56"/>
      <c r="V208" s="57">
        <v>240</v>
      </c>
      <c r="W208" s="58"/>
      <c r="X208" s="58">
        <v>16.8</v>
      </c>
      <c r="Y208" s="58"/>
      <c r="Z208" s="58">
        <f>134.4+127.5+125.4</f>
        <v>387.29999999999995</v>
      </c>
      <c r="AA208" s="58"/>
      <c r="AB208" s="58">
        <f t="shared" si="37"/>
        <v>644.09999999999991</v>
      </c>
      <c r="AC208" s="58"/>
      <c r="AD208" s="59">
        <v>0</v>
      </c>
      <c r="AE208" s="60">
        <f t="shared" si="82"/>
        <v>0</v>
      </c>
      <c r="AF208" s="61"/>
      <c r="AG208" s="59"/>
      <c r="AH208" s="60">
        <f t="shared" si="83"/>
        <v>0</v>
      </c>
      <c r="AI208" s="62"/>
      <c r="AJ208" s="62">
        <f t="shared" si="6"/>
        <v>0</v>
      </c>
      <c r="AK208" s="63">
        <f t="shared" si="40"/>
        <v>0</v>
      </c>
      <c r="AL208" s="64">
        <f t="shared" si="41"/>
        <v>404.09999999999997</v>
      </c>
      <c r="AP208" s="65">
        <f t="shared" si="8"/>
        <v>1</v>
      </c>
      <c r="AQ208" s="16">
        <f t="shared" si="9"/>
        <v>1</v>
      </c>
      <c r="AR208" s="16">
        <f t="shared" si="10"/>
        <v>1</v>
      </c>
      <c r="AS208" s="66">
        <f t="shared" si="11"/>
        <v>9793.09</v>
      </c>
      <c r="AT208" s="67">
        <f t="shared" si="12"/>
        <v>25863.87</v>
      </c>
      <c r="AU208" s="68">
        <f t="shared" si="80"/>
        <v>20.3</v>
      </c>
      <c r="AV208" s="19">
        <f t="shared" si="14"/>
        <v>3.7776473261198302E-3</v>
      </c>
      <c r="AW208" s="69">
        <f t="shared" si="15"/>
        <v>0</v>
      </c>
      <c r="AY208" s="65">
        <f t="shared" si="16"/>
        <v>0</v>
      </c>
      <c r="AZ208" s="16">
        <f t="shared" si="17"/>
        <v>1</v>
      </c>
      <c r="BA208" s="16">
        <f t="shared" si="18"/>
        <v>0</v>
      </c>
      <c r="BB208" s="70">
        <f t="shared" si="19"/>
        <v>0</v>
      </c>
      <c r="BC208" s="67">
        <f t="shared" si="20"/>
        <v>0</v>
      </c>
      <c r="BD208" s="71">
        <f t="shared" si="21"/>
        <v>0</v>
      </c>
      <c r="BE208" s="19">
        <f t="shared" si="22"/>
        <v>0</v>
      </c>
      <c r="BF208" s="69">
        <f t="shared" si="23"/>
        <v>0</v>
      </c>
      <c r="BH208" s="72">
        <f t="shared" si="24"/>
        <v>25863.87</v>
      </c>
      <c r="BI208" s="73">
        <f t="shared" si="25"/>
        <v>1</v>
      </c>
      <c r="BJ208" s="74">
        <f t="shared" si="26"/>
        <v>2.2993475037031107E-3</v>
      </c>
      <c r="BK208" s="75">
        <f t="shared" si="27"/>
        <v>0</v>
      </c>
      <c r="BM208" s="76">
        <f t="shared" si="28"/>
        <v>1</v>
      </c>
    </row>
    <row r="209" spans="1:65" ht="12.75" customHeight="1" x14ac:dyDescent="0.2">
      <c r="A209" s="47"/>
      <c r="B209" s="48" t="s">
        <v>427</v>
      </c>
      <c r="C209" s="49">
        <v>29340</v>
      </c>
      <c r="D209" s="50">
        <v>13</v>
      </c>
      <c r="E209" s="49">
        <v>26798.959999999999</v>
      </c>
      <c r="F209" s="50" t="s">
        <v>55</v>
      </c>
      <c r="G209" s="51">
        <v>43903</v>
      </c>
      <c r="H209" s="52" t="s">
        <v>56</v>
      </c>
      <c r="I209" s="51">
        <v>44377</v>
      </c>
      <c r="J209" s="52">
        <f t="shared" si="68"/>
        <v>15.8</v>
      </c>
      <c r="K209" s="53" t="s">
        <v>428</v>
      </c>
      <c r="L209" s="53">
        <v>41000</v>
      </c>
      <c r="M209" s="54">
        <v>650.26</v>
      </c>
      <c r="N209" s="54">
        <v>4584</v>
      </c>
      <c r="O209" s="54">
        <v>2080</v>
      </c>
      <c r="P209" s="54">
        <f t="shared" si="69"/>
        <v>0</v>
      </c>
      <c r="Q209" s="54">
        <f t="shared" si="70"/>
        <v>0</v>
      </c>
      <c r="R209" s="55">
        <f t="shared" si="71"/>
        <v>0</v>
      </c>
      <c r="S209" s="55">
        <f t="shared" si="72"/>
        <v>1</v>
      </c>
      <c r="T209" s="56"/>
      <c r="V209" s="57">
        <v>328</v>
      </c>
      <c r="W209" s="58"/>
      <c r="X209" s="58">
        <v>22.96</v>
      </c>
      <c r="Y209" s="58"/>
      <c r="Z209" s="58">
        <f>176.71+265.27+185.32</f>
        <v>627.29999999999995</v>
      </c>
      <c r="AA209" s="58"/>
      <c r="AB209" s="58">
        <f t="shared" si="37"/>
        <v>978.26</v>
      </c>
      <c r="AC209" s="58"/>
      <c r="AD209" s="59">
        <v>0</v>
      </c>
      <c r="AE209" s="60">
        <f t="shared" si="82"/>
        <v>0</v>
      </c>
      <c r="AF209" s="61"/>
      <c r="AG209" s="59"/>
      <c r="AH209" s="60">
        <f t="shared" si="83"/>
        <v>0</v>
      </c>
      <c r="AI209" s="62"/>
      <c r="AJ209" s="62">
        <f t="shared" si="6"/>
        <v>0</v>
      </c>
      <c r="AK209" s="63">
        <f t="shared" si="40"/>
        <v>0</v>
      </c>
      <c r="AL209" s="64">
        <f t="shared" si="41"/>
        <v>650.26</v>
      </c>
      <c r="AP209" s="65">
        <f t="shared" si="8"/>
        <v>1</v>
      </c>
      <c r="AQ209" s="16">
        <f t="shared" si="9"/>
        <v>1</v>
      </c>
      <c r="AR209" s="16">
        <f t="shared" si="10"/>
        <v>1</v>
      </c>
      <c r="AS209" s="66">
        <f t="shared" si="11"/>
        <v>6664</v>
      </c>
      <c r="AT209" s="67">
        <f t="shared" si="12"/>
        <v>26798.959999999999</v>
      </c>
      <c r="AU209" s="68">
        <f t="shared" si="80"/>
        <v>15.8</v>
      </c>
      <c r="AV209" s="19">
        <f t="shared" si="14"/>
        <v>3.9142255040252013E-3</v>
      </c>
      <c r="AW209" s="69">
        <f t="shared" si="15"/>
        <v>0</v>
      </c>
      <c r="AY209" s="65">
        <f t="shared" si="16"/>
        <v>0</v>
      </c>
      <c r="AZ209" s="16">
        <f t="shared" si="17"/>
        <v>1</v>
      </c>
      <c r="BA209" s="16">
        <f t="shared" si="18"/>
        <v>0</v>
      </c>
      <c r="BB209" s="70">
        <f t="shared" si="19"/>
        <v>0</v>
      </c>
      <c r="BC209" s="67">
        <f t="shared" si="20"/>
        <v>0</v>
      </c>
      <c r="BD209" s="71">
        <f t="shared" si="21"/>
        <v>0</v>
      </c>
      <c r="BE209" s="19">
        <f t="shared" si="22"/>
        <v>0</v>
      </c>
      <c r="BF209" s="69">
        <f t="shared" si="23"/>
        <v>0</v>
      </c>
      <c r="BH209" s="72">
        <f t="shared" si="24"/>
        <v>26798.959999999999</v>
      </c>
      <c r="BI209" s="73">
        <f t="shared" si="25"/>
        <v>1</v>
      </c>
      <c r="BJ209" s="74">
        <f t="shared" si="26"/>
        <v>2.3824787929199892E-3</v>
      </c>
      <c r="BK209" s="75">
        <f t="shared" si="27"/>
        <v>0</v>
      </c>
      <c r="BM209" s="76">
        <f t="shared" si="28"/>
        <v>1</v>
      </c>
    </row>
    <row r="210" spans="1:65" ht="12.75" customHeight="1" x14ac:dyDescent="0.2">
      <c r="A210" s="47"/>
      <c r="B210" s="48" t="s">
        <v>429</v>
      </c>
      <c r="C210" s="49">
        <v>55390.5</v>
      </c>
      <c r="D210" s="50">
        <v>13</v>
      </c>
      <c r="E210" s="49">
        <v>49974.03</v>
      </c>
      <c r="F210" s="50" t="s">
        <v>55</v>
      </c>
      <c r="G210" s="51">
        <v>43909</v>
      </c>
      <c r="H210" s="52" t="s">
        <v>56</v>
      </c>
      <c r="I210" s="51">
        <v>44292</v>
      </c>
      <c r="J210" s="52">
        <f t="shared" si="68"/>
        <v>12.766666666666667</v>
      </c>
      <c r="K210" s="53" t="s">
        <v>430</v>
      </c>
      <c r="L210" s="53">
        <v>67000</v>
      </c>
      <c r="M210" s="54">
        <v>734.86</v>
      </c>
      <c r="N210" s="54">
        <v>10973.64</v>
      </c>
      <c r="O210" s="54">
        <v>4188.7299999999996</v>
      </c>
      <c r="P210" s="54">
        <f t="shared" si="69"/>
        <v>0</v>
      </c>
      <c r="Q210" s="54">
        <f t="shared" si="70"/>
        <v>0</v>
      </c>
      <c r="R210" s="55">
        <f t="shared" si="71"/>
        <v>0</v>
      </c>
      <c r="S210" s="55">
        <f t="shared" si="72"/>
        <v>1</v>
      </c>
      <c r="T210" s="56"/>
      <c r="V210" s="57">
        <v>179.93</v>
      </c>
      <c r="W210" s="58"/>
      <c r="X210" s="58">
        <v>12.6</v>
      </c>
      <c r="Y210" s="58"/>
      <c r="Z210" s="58">
        <f>159.03+143.64+111.53</f>
        <v>414.19999999999993</v>
      </c>
      <c r="AA210" s="58">
        <v>1009.75</v>
      </c>
      <c r="AB210" s="58">
        <f t="shared" si="37"/>
        <v>1616.4799999999998</v>
      </c>
      <c r="AC210" s="58"/>
      <c r="AD210" s="59">
        <v>1.2500000000000001E-2</v>
      </c>
      <c r="AE210" s="60">
        <f t="shared" si="82"/>
        <v>308.05908904109589</v>
      </c>
      <c r="AF210" s="61"/>
      <c r="AG210" s="59"/>
      <c r="AH210" s="60">
        <f t="shared" si="83"/>
        <v>0</v>
      </c>
      <c r="AI210" s="62"/>
      <c r="AJ210" s="62">
        <f t="shared" si="6"/>
        <v>308.05908904109589</v>
      </c>
      <c r="AK210" s="63">
        <f t="shared" si="40"/>
        <v>308.05908904109589</v>
      </c>
      <c r="AL210" s="64">
        <f t="shared" si="41"/>
        <v>734.85908904109579</v>
      </c>
      <c r="AP210" s="65">
        <f t="shared" si="8"/>
        <v>1</v>
      </c>
      <c r="AQ210" s="16">
        <f t="shared" si="9"/>
        <v>1</v>
      </c>
      <c r="AR210" s="16">
        <f t="shared" si="10"/>
        <v>1</v>
      </c>
      <c r="AS210" s="66">
        <f t="shared" si="11"/>
        <v>15162.369999999999</v>
      </c>
      <c r="AT210" s="67">
        <f t="shared" si="12"/>
        <v>49974.03</v>
      </c>
      <c r="AU210" s="68">
        <f t="shared" si="80"/>
        <v>12.766666666666667</v>
      </c>
      <c r="AV210" s="19">
        <f t="shared" si="14"/>
        <v>7.2991497716672791E-3</v>
      </c>
      <c r="AW210" s="69">
        <f t="shared" si="15"/>
        <v>0</v>
      </c>
      <c r="AY210" s="65">
        <f t="shared" si="16"/>
        <v>0</v>
      </c>
      <c r="AZ210" s="16">
        <f t="shared" si="17"/>
        <v>1</v>
      </c>
      <c r="BA210" s="16">
        <f t="shared" si="18"/>
        <v>0</v>
      </c>
      <c r="BB210" s="70">
        <f t="shared" si="19"/>
        <v>0</v>
      </c>
      <c r="BC210" s="67">
        <f t="shared" si="20"/>
        <v>0</v>
      </c>
      <c r="BD210" s="71">
        <f t="shared" si="21"/>
        <v>0</v>
      </c>
      <c r="BE210" s="19">
        <f t="shared" si="22"/>
        <v>0</v>
      </c>
      <c r="BF210" s="69">
        <f t="shared" si="23"/>
        <v>0</v>
      </c>
      <c r="BH210" s="72">
        <f t="shared" si="24"/>
        <v>49974.03</v>
      </c>
      <c r="BI210" s="73">
        <f t="shared" si="25"/>
        <v>1</v>
      </c>
      <c r="BJ210" s="74">
        <f t="shared" si="26"/>
        <v>4.4427868347035604E-3</v>
      </c>
      <c r="BK210" s="75">
        <f t="shared" si="27"/>
        <v>0</v>
      </c>
      <c r="BM210" s="76">
        <f t="shared" si="28"/>
        <v>1</v>
      </c>
    </row>
    <row r="211" spans="1:65" ht="12.75" customHeight="1" x14ac:dyDescent="0.2">
      <c r="A211" s="47"/>
      <c r="B211" s="48" t="s">
        <v>431</v>
      </c>
      <c r="C211" s="49">
        <v>39595.050000000003</v>
      </c>
      <c r="D211" s="50">
        <v>13</v>
      </c>
      <c r="E211" s="49">
        <v>37160.49</v>
      </c>
      <c r="F211" s="50" t="s">
        <v>55</v>
      </c>
      <c r="G211" s="51">
        <v>43913</v>
      </c>
      <c r="H211" s="52" t="s">
        <v>56</v>
      </c>
      <c r="I211" s="51">
        <v>44347</v>
      </c>
      <c r="J211" s="52">
        <f t="shared" si="68"/>
        <v>14.466666666666667</v>
      </c>
      <c r="K211" s="53" t="s">
        <v>432</v>
      </c>
      <c r="L211" s="53">
        <v>45000</v>
      </c>
      <c r="M211" s="54">
        <v>754.82999999999993</v>
      </c>
      <c r="N211" s="54">
        <v>6584</v>
      </c>
      <c r="O211" s="54">
        <v>2000</v>
      </c>
      <c r="P211" s="54">
        <f t="shared" si="69"/>
        <v>0</v>
      </c>
      <c r="Q211" s="54">
        <f t="shared" si="70"/>
        <v>1499.3199999999979</v>
      </c>
      <c r="R211" s="55">
        <f t="shared" si="71"/>
        <v>4.0347153657015772E-2</v>
      </c>
      <c r="S211" s="55">
        <f t="shared" si="72"/>
        <v>0.9596528463429842</v>
      </c>
      <c r="T211" s="56"/>
      <c r="V211" s="57">
        <v>333</v>
      </c>
      <c r="W211" s="58"/>
      <c r="X211" s="58">
        <v>23.31</v>
      </c>
      <c r="Y211" s="58"/>
      <c r="Z211" s="58">
        <f>205.92+374.4+151.2</f>
        <v>731.52</v>
      </c>
      <c r="AA211" s="58"/>
      <c r="AB211" s="58">
        <f t="shared" si="37"/>
        <v>1087.83</v>
      </c>
      <c r="AC211" s="58"/>
      <c r="AD211" s="59">
        <v>0</v>
      </c>
      <c r="AE211" s="60">
        <f t="shared" si="82"/>
        <v>0</v>
      </c>
      <c r="AF211" s="61"/>
      <c r="AG211" s="59"/>
      <c r="AH211" s="60">
        <f t="shared" si="83"/>
        <v>0</v>
      </c>
      <c r="AI211" s="62"/>
      <c r="AJ211" s="62">
        <f t="shared" si="6"/>
        <v>0</v>
      </c>
      <c r="AK211" s="63">
        <f t="shared" si="40"/>
        <v>0</v>
      </c>
      <c r="AL211" s="64">
        <f t="shared" si="41"/>
        <v>754.82999999999993</v>
      </c>
      <c r="AP211" s="65">
        <f t="shared" si="8"/>
        <v>1</v>
      </c>
      <c r="AQ211" s="16">
        <f t="shared" si="9"/>
        <v>1</v>
      </c>
      <c r="AR211" s="16">
        <f t="shared" si="10"/>
        <v>1</v>
      </c>
      <c r="AS211" s="66">
        <f t="shared" si="11"/>
        <v>8584</v>
      </c>
      <c r="AT211" s="67">
        <f t="shared" si="12"/>
        <v>37160.49</v>
      </c>
      <c r="AU211" s="68">
        <f t="shared" si="80"/>
        <v>14.466666666666667</v>
      </c>
      <c r="AV211" s="19">
        <f t="shared" si="14"/>
        <v>5.4276187471481527E-3</v>
      </c>
      <c r="AW211" s="69">
        <f t="shared" si="15"/>
        <v>2.1898896758288595E-4</v>
      </c>
      <c r="AY211" s="65">
        <f t="shared" si="16"/>
        <v>0</v>
      </c>
      <c r="AZ211" s="16">
        <f t="shared" si="17"/>
        <v>1</v>
      </c>
      <c r="BA211" s="16">
        <f t="shared" si="18"/>
        <v>0</v>
      </c>
      <c r="BB211" s="70">
        <f t="shared" si="19"/>
        <v>0</v>
      </c>
      <c r="BC211" s="67">
        <f t="shared" si="20"/>
        <v>0</v>
      </c>
      <c r="BD211" s="71">
        <f t="shared" si="21"/>
        <v>0</v>
      </c>
      <c r="BE211" s="19">
        <f t="shared" si="22"/>
        <v>0</v>
      </c>
      <c r="BF211" s="69">
        <f t="shared" si="23"/>
        <v>0</v>
      </c>
      <c r="BH211" s="72">
        <f t="shared" si="24"/>
        <v>37160.49</v>
      </c>
      <c r="BI211" s="73">
        <f t="shared" si="25"/>
        <v>1</v>
      </c>
      <c r="BJ211" s="74">
        <f t="shared" si="26"/>
        <v>3.3036386247643685E-3</v>
      </c>
      <c r="BK211" s="75">
        <f t="shared" si="27"/>
        <v>1.3329241522062025E-4</v>
      </c>
      <c r="BM211" s="76">
        <f t="shared" si="28"/>
        <v>1</v>
      </c>
    </row>
    <row r="212" spans="1:65" ht="12.75" customHeight="1" x14ac:dyDescent="0.2">
      <c r="A212" s="47"/>
      <c r="B212" s="48" t="s">
        <v>433</v>
      </c>
      <c r="C212" s="49">
        <v>25000</v>
      </c>
      <c r="D212" s="50">
        <v>13</v>
      </c>
      <c r="E212" s="49">
        <v>24314.23</v>
      </c>
      <c r="F212" s="50" t="s">
        <v>55</v>
      </c>
      <c r="G212" s="51">
        <v>44001</v>
      </c>
      <c r="H212" s="52" t="s">
        <v>56</v>
      </c>
      <c r="I212" s="51">
        <v>44812</v>
      </c>
      <c r="J212" s="52">
        <f t="shared" si="68"/>
        <v>27.033333333333335</v>
      </c>
      <c r="K212" s="53" t="s">
        <v>434</v>
      </c>
      <c r="L212" s="53">
        <v>35500</v>
      </c>
      <c r="M212" s="54">
        <v>1067.58</v>
      </c>
      <c r="N212" s="54">
        <v>5744.45</v>
      </c>
      <c r="O212" s="54">
        <v>3500.44</v>
      </c>
      <c r="P212" s="54">
        <f t="shared" si="69"/>
        <v>0</v>
      </c>
      <c r="Q212" s="54">
        <f t="shared" si="70"/>
        <v>0</v>
      </c>
      <c r="R212" s="55">
        <f t="shared" si="71"/>
        <v>0</v>
      </c>
      <c r="S212" s="55">
        <f t="shared" si="72"/>
        <v>1</v>
      </c>
      <c r="T212" s="56"/>
      <c r="V212" s="57">
        <v>286.75</v>
      </c>
      <c r="W212" s="58"/>
      <c r="X212" s="58">
        <v>20.07</v>
      </c>
      <c r="Y212" s="58"/>
      <c r="Z212" s="58">
        <f>81.53+97.65+160.89</f>
        <v>340.07</v>
      </c>
      <c r="AA212" s="58">
        <v>3861.76</v>
      </c>
      <c r="AB212" s="58">
        <f t="shared" si="37"/>
        <v>4508.6499999999996</v>
      </c>
      <c r="AC212" s="58"/>
      <c r="AD212" s="59">
        <v>5.8999999999999997E-2</v>
      </c>
      <c r="AE212" s="60">
        <f t="shared" si="82"/>
        <v>707.44417150684933</v>
      </c>
      <c r="AF212" s="61"/>
      <c r="AG212" s="59"/>
      <c r="AH212" s="60">
        <f t="shared" si="83"/>
        <v>0</v>
      </c>
      <c r="AI212" s="62"/>
      <c r="AJ212" s="62">
        <f t="shared" si="6"/>
        <v>707.44417150684933</v>
      </c>
      <c r="AK212" s="63">
        <f t="shared" si="40"/>
        <v>707.44417150684933</v>
      </c>
      <c r="AL212" s="64">
        <f t="shared" si="41"/>
        <v>1067.5841715068493</v>
      </c>
      <c r="AP212" s="65">
        <f t="shared" si="8"/>
        <v>1</v>
      </c>
      <c r="AQ212" s="16">
        <f t="shared" si="9"/>
        <v>1</v>
      </c>
      <c r="AR212" s="16">
        <f t="shared" si="10"/>
        <v>1</v>
      </c>
      <c r="AS212" s="66">
        <f t="shared" si="11"/>
        <v>9244.89</v>
      </c>
      <c r="AT212" s="67">
        <f t="shared" si="12"/>
        <v>24314.23</v>
      </c>
      <c r="AU212" s="68">
        <f t="shared" si="80"/>
        <v>27.033333333333335</v>
      </c>
      <c r="AV212" s="19">
        <f t="shared" si="14"/>
        <v>3.5513086767820345E-3</v>
      </c>
      <c r="AW212" s="69">
        <f t="shared" si="15"/>
        <v>0</v>
      </c>
      <c r="AY212" s="65">
        <f t="shared" si="16"/>
        <v>0</v>
      </c>
      <c r="AZ212" s="16">
        <f t="shared" si="17"/>
        <v>1</v>
      </c>
      <c r="BA212" s="16">
        <f t="shared" si="18"/>
        <v>0</v>
      </c>
      <c r="BB212" s="70">
        <f t="shared" si="19"/>
        <v>0</v>
      </c>
      <c r="BC212" s="67">
        <f t="shared" si="20"/>
        <v>0</v>
      </c>
      <c r="BD212" s="71">
        <f t="shared" si="21"/>
        <v>0</v>
      </c>
      <c r="BE212" s="19">
        <f t="shared" si="22"/>
        <v>0</v>
      </c>
      <c r="BF212" s="69">
        <f t="shared" si="23"/>
        <v>0</v>
      </c>
      <c r="BH212" s="72">
        <f t="shared" si="24"/>
        <v>24314.23</v>
      </c>
      <c r="BI212" s="73">
        <f t="shared" si="25"/>
        <v>1</v>
      </c>
      <c r="BJ212" s="74">
        <f t="shared" si="26"/>
        <v>2.1615815442531721E-3</v>
      </c>
      <c r="BK212" s="75">
        <f t="shared" si="27"/>
        <v>0</v>
      </c>
      <c r="BM212" s="76">
        <f t="shared" si="28"/>
        <v>1</v>
      </c>
    </row>
    <row r="213" spans="1:65" ht="12.75" customHeight="1" x14ac:dyDescent="0.2">
      <c r="A213" s="47"/>
      <c r="B213" s="48" t="s">
        <v>435</v>
      </c>
      <c r="C213" s="49">
        <v>35394.949999999997</v>
      </c>
      <c r="D213" s="50">
        <v>13</v>
      </c>
      <c r="E213" s="49">
        <v>34784.83</v>
      </c>
      <c r="F213" s="50" t="s">
        <v>55</v>
      </c>
      <c r="G213" s="51">
        <v>44020</v>
      </c>
      <c r="H213" s="52" t="s">
        <v>56</v>
      </c>
      <c r="I213" s="51">
        <v>44136</v>
      </c>
      <c r="J213" s="52">
        <f t="shared" si="68"/>
        <v>3.8666666666666667</v>
      </c>
      <c r="K213" s="53" t="s">
        <v>436</v>
      </c>
      <c r="L213" s="53">
        <v>42500</v>
      </c>
      <c r="M213" s="54">
        <v>477.91</v>
      </c>
      <c r="N213" s="54">
        <v>5976.77</v>
      </c>
      <c r="O213" s="54">
        <v>60</v>
      </c>
      <c r="P213" s="54">
        <f t="shared" si="69"/>
        <v>0</v>
      </c>
      <c r="Q213" s="54">
        <f t="shared" si="70"/>
        <v>0</v>
      </c>
      <c r="R213" s="55">
        <f t="shared" si="71"/>
        <v>0</v>
      </c>
      <c r="S213" s="55">
        <f t="shared" si="72"/>
        <v>1</v>
      </c>
      <c r="T213" s="56"/>
      <c r="V213" s="57">
        <v>379.25</v>
      </c>
      <c r="W213" s="58"/>
      <c r="X213" s="58">
        <v>26.55</v>
      </c>
      <c r="Y213" s="58"/>
      <c r="Z213" s="58">
        <f>182.08+126.48+142.8</f>
        <v>451.36</v>
      </c>
      <c r="AA213" s="58"/>
      <c r="AB213" s="58">
        <f t="shared" si="37"/>
        <v>857.16000000000008</v>
      </c>
      <c r="AC213" s="58"/>
      <c r="AD213" s="59">
        <v>0</v>
      </c>
      <c r="AE213" s="60">
        <f t="shared" si="82"/>
        <v>0</v>
      </c>
      <c r="AF213" s="61"/>
      <c r="AG213" s="59"/>
      <c r="AH213" s="60">
        <f t="shared" si="83"/>
        <v>0</v>
      </c>
      <c r="AI213" s="62"/>
      <c r="AJ213" s="62">
        <f t="shared" si="6"/>
        <v>0</v>
      </c>
      <c r="AK213" s="63">
        <f t="shared" si="40"/>
        <v>0</v>
      </c>
      <c r="AL213" s="64">
        <f t="shared" si="41"/>
        <v>477.91</v>
      </c>
      <c r="AP213" s="65">
        <f t="shared" si="8"/>
        <v>1</v>
      </c>
      <c r="AQ213" s="16">
        <f t="shared" si="9"/>
        <v>1</v>
      </c>
      <c r="AR213" s="16">
        <f t="shared" si="10"/>
        <v>1</v>
      </c>
      <c r="AS213" s="66">
        <f t="shared" si="11"/>
        <v>6036.77</v>
      </c>
      <c r="AT213" s="67">
        <f t="shared" si="12"/>
        <v>34784.83</v>
      </c>
      <c r="AU213" s="68">
        <f t="shared" si="80"/>
        <v>3.8666666666666667</v>
      </c>
      <c r="AV213" s="19">
        <f t="shared" si="14"/>
        <v>5.0806325595911545E-3</v>
      </c>
      <c r="AW213" s="69">
        <f t="shared" si="15"/>
        <v>0</v>
      </c>
      <c r="AY213" s="65">
        <f t="shared" si="16"/>
        <v>0</v>
      </c>
      <c r="AZ213" s="16">
        <f t="shared" si="17"/>
        <v>1</v>
      </c>
      <c r="BA213" s="16">
        <f t="shared" si="18"/>
        <v>0</v>
      </c>
      <c r="BB213" s="70">
        <f t="shared" si="19"/>
        <v>0</v>
      </c>
      <c r="BC213" s="67">
        <f t="shared" si="20"/>
        <v>0</v>
      </c>
      <c r="BD213" s="71">
        <f t="shared" si="21"/>
        <v>0</v>
      </c>
      <c r="BE213" s="19">
        <f t="shared" si="22"/>
        <v>0</v>
      </c>
      <c r="BF213" s="69">
        <f t="shared" si="23"/>
        <v>0</v>
      </c>
      <c r="BH213" s="72">
        <f t="shared" si="24"/>
        <v>34784.83</v>
      </c>
      <c r="BI213" s="73">
        <f t="shared" si="25"/>
        <v>1</v>
      </c>
      <c r="BJ213" s="74">
        <f t="shared" si="26"/>
        <v>3.0924379076772766E-3</v>
      </c>
      <c r="BK213" s="75">
        <f t="shared" si="27"/>
        <v>0</v>
      </c>
      <c r="BM213" s="76">
        <f t="shared" si="28"/>
        <v>1</v>
      </c>
    </row>
    <row r="214" spans="1:65" ht="12.75" customHeight="1" x14ac:dyDescent="0.2">
      <c r="A214" s="47"/>
      <c r="B214" s="48" t="s">
        <v>437</v>
      </c>
      <c r="C214" s="49">
        <v>34650</v>
      </c>
      <c r="D214" s="50">
        <v>13</v>
      </c>
      <c r="E214" s="49">
        <v>30207.41</v>
      </c>
      <c r="F214" s="50" t="s">
        <v>55</v>
      </c>
      <c r="G214" s="51">
        <v>44042</v>
      </c>
      <c r="H214" s="52" t="s">
        <v>56</v>
      </c>
      <c r="I214" s="51">
        <v>44453</v>
      </c>
      <c r="J214" s="52">
        <f t="shared" si="68"/>
        <v>13.7</v>
      </c>
      <c r="K214" s="53" t="s">
        <v>438</v>
      </c>
      <c r="L214" s="53">
        <v>48500</v>
      </c>
      <c r="M214" s="54">
        <v>419</v>
      </c>
      <c r="N214" s="54">
        <v>9703.9</v>
      </c>
      <c r="O214" s="54">
        <v>0</v>
      </c>
      <c r="P214" s="54">
        <f t="shared" si="69"/>
        <v>0</v>
      </c>
      <c r="Q214" s="54">
        <f t="shared" si="70"/>
        <v>0</v>
      </c>
      <c r="R214" s="55">
        <f t="shared" si="71"/>
        <v>0</v>
      </c>
      <c r="S214" s="55">
        <f t="shared" si="72"/>
        <v>1</v>
      </c>
      <c r="T214" s="56"/>
      <c r="V214" s="57">
        <v>200</v>
      </c>
      <c r="W214" s="58"/>
      <c r="X214" s="58">
        <v>14</v>
      </c>
      <c r="Y214" s="58"/>
      <c r="Z214" s="58">
        <f>124.75+163.75+116.5</f>
        <v>405</v>
      </c>
      <c r="AA214" s="58"/>
      <c r="AB214" s="58">
        <f t="shared" si="37"/>
        <v>619</v>
      </c>
      <c r="AC214" s="58"/>
      <c r="AD214" s="59">
        <v>0</v>
      </c>
      <c r="AE214" s="60">
        <f t="shared" si="82"/>
        <v>0</v>
      </c>
      <c r="AF214" s="61"/>
      <c r="AG214" s="59"/>
      <c r="AH214" s="60">
        <f t="shared" si="83"/>
        <v>0</v>
      </c>
      <c r="AI214" s="62"/>
      <c r="AJ214" s="62">
        <f t="shared" si="6"/>
        <v>0</v>
      </c>
      <c r="AK214" s="63">
        <f t="shared" si="40"/>
        <v>0</v>
      </c>
      <c r="AL214" s="64">
        <f t="shared" si="41"/>
        <v>419</v>
      </c>
      <c r="AP214" s="65">
        <f t="shared" si="8"/>
        <v>1</v>
      </c>
      <c r="AQ214" s="16">
        <f t="shared" si="9"/>
        <v>1</v>
      </c>
      <c r="AR214" s="16">
        <f t="shared" si="10"/>
        <v>1</v>
      </c>
      <c r="AS214" s="66">
        <f t="shared" si="11"/>
        <v>9703.9</v>
      </c>
      <c r="AT214" s="67">
        <f t="shared" si="12"/>
        <v>30207.41</v>
      </c>
      <c r="AU214" s="68">
        <f t="shared" si="80"/>
        <v>13.7</v>
      </c>
      <c r="AV214" s="19">
        <f t="shared" si="14"/>
        <v>4.4120598199536816E-3</v>
      </c>
      <c r="AW214" s="69">
        <f t="shared" si="15"/>
        <v>0</v>
      </c>
      <c r="AY214" s="65">
        <f t="shared" si="16"/>
        <v>0</v>
      </c>
      <c r="AZ214" s="16">
        <f t="shared" si="17"/>
        <v>1</v>
      </c>
      <c r="BA214" s="16">
        <f t="shared" si="18"/>
        <v>0</v>
      </c>
      <c r="BB214" s="70">
        <f t="shared" si="19"/>
        <v>0</v>
      </c>
      <c r="BC214" s="67">
        <f t="shared" si="20"/>
        <v>0</v>
      </c>
      <c r="BD214" s="71">
        <f t="shared" si="21"/>
        <v>0</v>
      </c>
      <c r="BE214" s="19">
        <f t="shared" si="22"/>
        <v>0</v>
      </c>
      <c r="BF214" s="69">
        <f t="shared" si="23"/>
        <v>0</v>
      </c>
      <c r="BH214" s="72">
        <f t="shared" si="24"/>
        <v>30207.41</v>
      </c>
      <c r="BI214" s="73">
        <f t="shared" si="25"/>
        <v>1</v>
      </c>
      <c r="BJ214" s="74">
        <f t="shared" si="26"/>
        <v>2.6854965160602951E-3</v>
      </c>
      <c r="BK214" s="75">
        <f t="shared" si="27"/>
        <v>0</v>
      </c>
      <c r="BM214" s="76">
        <f t="shared" si="28"/>
        <v>1</v>
      </c>
    </row>
    <row r="215" spans="1:65" ht="12.75" customHeight="1" x14ac:dyDescent="0.2">
      <c r="A215" s="47"/>
      <c r="B215" s="48" t="s">
        <v>439</v>
      </c>
      <c r="C215" s="49">
        <v>40850</v>
      </c>
      <c r="D215" s="50">
        <v>13</v>
      </c>
      <c r="E215" s="49">
        <v>40343.67</v>
      </c>
      <c r="F215" s="50" t="s">
        <v>55</v>
      </c>
      <c r="G215" s="51">
        <v>44055</v>
      </c>
      <c r="H215" s="52" t="s">
        <v>56</v>
      </c>
      <c r="I215" s="51">
        <v>44110</v>
      </c>
      <c r="J215" s="52">
        <f t="shared" si="68"/>
        <v>1.8333333333333333</v>
      </c>
      <c r="K215" s="53" t="s">
        <v>440</v>
      </c>
      <c r="L215" s="53">
        <v>60000</v>
      </c>
      <c r="M215" s="54">
        <v>2415.2399999999998</v>
      </c>
      <c r="N215" s="54">
        <v>7368.5099999999993</v>
      </c>
      <c r="O215" s="54">
        <v>2048.89</v>
      </c>
      <c r="P215" s="54">
        <f t="shared" si="69"/>
        <v>0</v>
      </c>
      <c r="Q215" s="54">
        <f t="shared" si="70"/>
        <v>0</v>
      </c>
      <c r="R215" s="55">
        <f t="shared" si="71"/>
        <v>0</v>
      </c>
      <c r="S215" s="55">
        <f t="shared" si="72"/>
        <v>1</v>
      </c>
      <c r="T215" s="56"/>
      <c r="V215" s="57">
        <v>248</v>
      </c>
      <c r="W215" s="58">
        <v>403.44</v>
      </c>
      <c r="X215" s="58">
        <v>45.6</v>
      </c>
      <c r="Y215" s="58"/>
      <c r="Z215" s="58">
        <f>260.09+354.95+177.32</f>
        <v>792.3599999999999</v>
      </c>
      <c r="AA215" s="58">
        <v>7899.02</v>
      </c>
      <c r="AB215" s="58">
        <f t="shared" si="37"/>
        <v>9388.4200000000019</v>
      </c>
      <c r="AC215" s="58"/>
      <c r="AD215" s="59">
        <v>5.8999999999999997E-2</v>
      </c>
      <c r="AE215" s="60">
        <f t="shared" si="82"/>
        <v>1173.8350010958902</v>
      </c>
      <c r="AF215" s="61"/>
      <c r="AG215" s="59"/>
      <c r="AH215" s="60">
        <f t="shared" si="83"/>
        <v>0</v>
      </c>
      <c r="AI215" s="62"/>
      <c r="AJ215" s="62">
        <f t="shared" si="6"/>
        <v>1173.8350010958902</v>
      </c>
      <c r="AK215" s="63">
        <f t="shared" si="40"/>
        <v>1173.8350010958902</v>
      </c>
      <c r="AL215" s="64">
        <f t="shared" si="41"/>
        <v>2415.2350010958899</v>
      </c>
      <c r="AP215" s="65">
        <f t="shared" si="8"/>
        <v>1</v>
      </c>
      <c r="AQ215" s="16">
        <f t="shared" si="9"/>
        <v>1</v>
      </c>
      <c r="AR215" s="16">
        <f t="shared" si="10"/>
        <v>1</v>
      </c>
      <c r="AS215" s="66">
        <f t="shared" si="11"/>
        <v>9417.4</v>
      </c>
      <c r="AT215" s="67">
        <f t="shared" si="12"/>
        <v>40343.67</v>
      </c>
      <c r="AU215" s="68">
        <f t="shared" si="80"/>
        <v>1.8333333333333333</v>
      </c>
      <c r="AV215" s="19">
        <f t="shared" si="14"/>
        <v>5.892550384043873E-3</v>
      </c>
      <c r="AW215" s="69">
        <f t="shared" si="15"/>
        <v>0</v>
      </c>
      <c r="AY215" s="65">
        <f t="shared" si="16"/>
        <v>0</v>
      </c>
      <c r="AZ215" s="16">
        <f t="shared" si="17"/>
        <v>1</v>
      </c>
      <c r="BA215" s="16">
        <f t="shared" si="18"/>
        <v>0</v>
      </c>
      <c r="BB215" s="70">
        <f t="shared" si="19"/>
        <v>0</v>
      </c>
      <c r="BC215" s="67">
        <f t="shared" si="20"/>
        <v>0</v>
      </c>
      <c r="BD215" s="71">
        <f t="shared" si="21"/>
        <v>0</v>
      </c>
      <c r="BE215" s="19">
        <f t="shared" si="22"/>
        <v>0</v>
      </c>
      <c r="BF215" s="69">
        <f t="shared" si="23"/>
        <v>0</v>
      </c>
      <c r="BH215" s="72">
        <f t="shared" si="24"/>
        <v>40343.67</v>
      </c>
      <c r="BI215" s="73">
        <f t="shared" si="25"/>
        <v>1</v>
      </c>
      <c r="BJ215" s="74">
        <f t="shared" si="26"/>
        <v>3.5866294141101884E-3</v>
      </c>
      <c r="BK215" s="75">
        <f t="shared" si="27"/>
        <v>0</v>
      </c>
      <c r="BM215" s="76">
        <f t="shared" si="28"/>
        <v>1</v>
      </c>
    </row>
    <row r="216" spans="1:65" ht="12.75" customHeight="1" x14ac:dyDescent="0.2">
      <c r="A216" s="47"/>
      <c r="B216" s="48" t="s">
        <v>441</v>
      </c>
      <c r="C216" s="49">
        <v>39595.440000000002</v>
      </c>
      <c r="D216" s="50">
        <v>13</v>
      </c>
      <c r="E216" s="49">
        <v>37140.11</v>
      </c>
      <c r="F216" s="50" t="s">
        <v>55</v>
      </c>
      <c r="G216" s="51">
        <v>44071</v>
      </c>
      <c r="H216" s="52" t="s">
        <v>56</v>
      </c>
      <c r="I216" s="51">
        <v>44972</v>
      </c>
      <c r="J216" s="52">
        <f t="shared" si="68"/>
        <v>30.033333333333335</v>
      </c>
      <c r="K216" s="53" t="s">
        <v>442</v>
      </c>
      <c r="L216" s="53">
        <v>33445.43</v>
      </c>
      <c r="M216" s="54">
        <v>1047.8</v>
      </c>
      <c r="N216" s="54">
        <v>10548.63</v>
      </c>
      <c r="O216" s="54">
        <v>2516.1999999999998</v>
      </c>
      <c r="P216" s="54">
        <f t="shared" si="69"/>
        <v>3694.6800000000003</v>
      </c>
      <c r="Q216" s="54">
        <f t="shared" si="70"/>
        <v>17807.310000000001</v>
      </c>
      <c r="R216" s="55">
        <f t="shared" si="71"/>
        <v>0.47946303874705815</v>
      </c>
      <c r="S216" s="55">
        <f t="shared" si="72"/>
        <v>0.5205369612529418</v>
      </c>
      <c r="T216" s="56"/>
      <c r="V216" s="57">
        <v>371.05</v>
      </c>
      <c r="W216" s="58">
        <v>371.4</v>
      </c>
      <c r="X216" s="58">
        <v>51.97</v>
      </c>
      <c r="Y216" s="58"/>
      <c r="Z216" s="58">
        <f>172.2+221.81+230.42</f>
        <v>624.42999999999995</v>
      </c>
      <c r="AA216" s="58">
        <v>0</v>
      </c>
      <c r="AB216" s="58">
        <f t="shared" si="37"/>
        <v>1418.85</v>
      </c>
      <c r="AC216" s="58"/>
      <c r="AD216" s="59">
        <v>0</v>
      </c>
      <c r="AE216" s="60">
        <f t="shared" si="82"/>
        <v>0</v>
      </c>
      <c r="AF216" s="61"/>
      <c r="AG216" s="59"/>
      <c r="AH216" s="60">
        <f t="shared" si="83"/>
        <v>0</v>
      </c>
      <c r="AI216" s="62"/>
      <c r="AJ216" s="62">
        <f t="shared" si="6"/>
        <v>0</v>
      </c>
      <c r="AK216" s="63">
        <f t="shared" si="40"/>
        <v>0</v>
      </c>
      <c r="AL216" s="64">
        <f t="shared" si="41"/>
        <v>1047.8</v>
      </c>
      <c r="AP216" s="65">
        <f t="shared" si="8"/>
        <v>1</v>
      </c>
      <c r="AQ216" s="16">
        <f t="shared" si="9"/>
        <v>1</v>
      </c>
      <c r="AR216" s="16">
        <f t="shared" si="10"/>
        <v>1</v>
      </c>
      <c r="AS216" s="66">
        <f t="shared" si="11"/>
        <v>13064.829999999998</v>
      </c>
      <c r="AT216" s="67">
        <f t="shared" si="12"/>
        <v>37140.11</v>
      </c>
      <c r="AU216" s="68">
        <f t="shared" si="80"/>
        <v>30.033333333333335</v>
      </c>
      <c r="AV216" s="19">
        <f t="shared" si="14"/>
        <v>5.4246420676138715E-3</v>
      </c>
      <c r="AW216" s="69">
        <f t="shared" si="15"/>
        <v>2.6009153698532714E-3</v>
      </c>
      <c r="AY216" s="65">
        <f t="shared" si="16"/>
        <v>0</v>
      </c>
      <c r="AZ216" s="16">
        <f t="shared" si="17"/>
        <v>1</v>
      </c>
      <c r="BA216" s="16">
        <f t="shared" si="18"/>
        <v>0</v>
      </c>
      <c r="BB216" s="70">
        <f t="shared" si="19"/>
        <v>0</v>
      </c>
      <c r="BC216" s="67">
        <f t="shared" si="20"/>
        <v>0</v>
      </c>
      <c r="BD216" s="71">
        <f t="shared" si="21"/>
        <v>0</v>
      </c>
      <c r="BE216" s="19">
        <f t="shared" si="22"/>
        <v>0</v>
      </c>
      <c r="BF216" s="69">
        <f t="shared" si="23"/>
        <v>0</v>
      </c>
      <c r="BH216" s="72">
        <f t="shared" si="24"/>
        <v>37140.11</v>
      </c>
      <c r="BI216" s="73">
        <f t="shared" si="25"/>
        <v>1</v>
      </c>
      <c r="BJ216" s="74">
        <f t="shared" si="26"/>
        <v>3.30182680379073E-3</v>
      </c>
      <c r="BK216" s="75">
        <f t="shared" si="27"/>
        <v>1.5831039127619899E-3</v>
      </c>
      <c r="BM216" s="76">
        <f t="shared" si="28"/>
        <v>1</v>
      </c>
    </row>
    <row r="217" spans="1:65" ht="12.75" customHeight="1" x14ac:dyDescent="0.2">
      <c r="A217" s="47"/>
      <c r="B217" s="48" t="s">
        <v>443</v>
      </c>
      <c r="C217" s="49">
        <v>35394.949999999997</v>
      </c>
      <c r="D217" s="50">
        <v>13</v>
      </c>
      <c r="E217" s="49">
        <v>34067.56</v>
      </c>
      <c r="F217" s="50" t="s">
        <v>55</v>
      </c>
      <c r="G217" s="51">
        <v>44088</v>
      </c>
      <c r="H217" s="52" t="s">
        <v>56</v>
      </c>
      <c r="I217" s="51">
        <v>44287</v>
      </c>
      <c r="J217" s="52">
        <v>12.766666666666667</v>
      </c>
      <c r="K217" s="53" t="s">
        <v>444</v>
      </c>
      <c r="L217" s="53">
        <v>45000</v>
      </c>
      <c r="M217" s="54">
        <v>598.94999999999993</v>
      </c>
      <c r="N217" s="54">
        <v>7803.99</v>
      </c>
      <c r="O217" s="54">
        <v>712.93</v>
      </c>
      <c r="P217" s="54">
        <f t="shared" si="69"/>
        <v>0</v>
      </c>
      <c r="Q217" s="54">
        <f t="shared" si="70"/>
        <v>0</v>
      </c>
      <c r="R217" s="55">
        <f t="shared" si="71"/>
        <v>0</v>
      </c>
      <c r="S217" s="55">
        <f t="shared" si="72"/>
        <v>1</v>
      </c>
      <c r="T217" s="56"/>
      <c r="V217" s="57">
        <v>333</v>
      </c>
      <c r="W217" s="58"/>
      <c r="X217" s="58">
        <v>23.31</v>
      </c>
      <c r="Y217" s="58"/>
      <c r="Z217" s="58">
        <f>183.6+240.84+151.2</f>
        <v>575.64</v>
      </c>
      <c r="AA217" s="58"/>
      <c r="AB217" s="58">
        <f t="shared" si="37"/>
        <v>931.94999999999993</v>
      </c>
      <c r="AC217" s="58"/>
      <c r="AD217" s="59">
        <v>0</v>
      </c>
      <c r="AE217" s="60">
        <f t="shared" si="82"/>
        <v>0</v>
      </c>
      <c r="AF217" s="61"/>
      <c r="AG217" s="59"/>
      <c r="AH217" s="60">
        <f t="shared" si="83"/>
        <v>0</v>
      </c>
      <c r="AI217" s="62"/>
      <c r="AJ217" s="62">
        <f t="shared" si="6"/>
        <v>0</v>
      </c>
      <c r="AK217" s="63">
        <f t="shared" si="40"/>
        <v>0</v>
      </c>
      <c r="AL217" s="64">
        <f t="shared" si="41"/>
        <v>598.94999999999993</v>
      </c>
      <c r="AP217" s="65">
        <f t="shared" si="8"/>
        <v>1</v>
      </c>
      <c r="AQ217" s="16">
        <f t="shared" si="9"/>
        <v>1</v>
      </c>
      <c r="AR217" s="16">
        <f t="shared" si="10"/>
        <v>1</v>
      </c>
      <c r="AS217" s="66">
        <f t="shared" si="11"/>
        <v>8516.92</v>
      </c>
      <c r="AT217" s="67">
        <f t="shared" si="12"/>
        <v>34067.56</v>
      </c>
      <c r="AU217" s="68">
        <f t="shared" si="80"/>
        <v>12.766666666666667</v>
      </c>
      <c r="AV217" s="19">
        <f t="shared" si="14"/>
        <v>4.9758689222234292E-3</v>
      </c>
      <c r="AW217" s="69">
        <f t="shared" si="15"/>
        <v>0</v>
      </c>
      <c r="AY217" s="65">
        <f t="shared" si="16"/>
        <v>0</v>
      </c>
      <c r="AZ217" s="16">
        <f t="shared" si="17"/>
        <v>1</v>
      </c>
      <c r="BA217" s="16">
        <f t="shared" si="18"/>
        <v>0</v>
      </c>
      <c r="BB217" s="70">
        <f t="shared" si="19"/>
        <v>0</v>
      </c>
      <c r="BC217" s="67">
        <f t="shared" si="20"/>
        <v>0</v>
      </c>
      <c r="BD217" s="71">
        <f t="shared" si="21"/>
        <v>0</v>
      </c>
      <c r="BE217" s="19">
        <f t="shared" si="22"/>
        <v>0</v>
      </c>
      <c r="BF217" s="69">
        <f t="shared" si="23"/>
        <v>0</v>
      </c>
      <c r="BH217" s="72">
        <f t="shared" si="24"/>
        <v>34067.56</v>
      </c>
      <c r="BI217" s="73">
        <f t="shared" si="25"/>
        <v>1</v>
      </c>
      <c r="BJ217" s="74">
        <f t="shared" si="26"/>
        <v>3.0286712330078965E-3</v>
      </c>
      <c r="BK217" s="75">
        <f t="shared" si="27"/>
        <v>0</v>
      </c>
      <c r="BM217" s="76">
        <f t="shared" si="28"/>
        <v>1</v>
      </c>
    </row>
    <row r="218" spans="1:65" ht="12.75" customHeight="1" x14ac:dyDescent="0.2">
      <c r="A218" s="47"/>
      <c r="B218" s="48" t="s">
        <v>445</v>
      </c>
      <c r="C218" s="49">
        <v>30150</v>
      </c>
      <c r="D218" s="50">
        <v>13</v>
      </c>
      <c r="E218" s="49">
        <v>28170.81</v>
      </c>
      <c r="F218" s="50" t="s">
        <v>55</v>
      </c>
      <c r="G218" s="51">
        <v>44088</v>
      </c>
      <c r="H218" s="52" t="s">
        <v>56</v>
      </c>
      <c r="I218" s="51">
        <v>44315</v>
      </c>
      <c r="J218" s="52">
        <f t="shared" ref="J218:J240" si="84">IF(I218="Active",0,(IF(I218="N/A","N/A",(I218-G218)/30)))</f>
        <v>7.5666666666666664</v>
      </c>
      <c r="K218" s="53" t="s">
        <v>446</v>
      </c>
      <c r="L218" s="53">
        <v>55000</v>
      </c>
      <c r="M218" s="54">
        <v>1480.8</v>
      </c>
      <c r="N218" s="54">
        <v>6818.36</v>
      </c>
      <c r="O218" s="54">
        <v>3200</v>
      </c>
      <c r="P218" s="54">
        <f t="shared" si="69"/>
        <v>0</v>
      </c>
      <c r="Q218" s="54">
        <f t="shared" si="70"/>
        <v>0</v>
      </c>
      <c r="R218" s="55">
        <f t="shared" si="71"/>
        <v>0</v>
      </c>
      <c r="S218" s="55">
        <f t="shared" si="72"/>
        <v>1</v>
      </c>
      <c r="T218" s="56"/>
      <c r="V218" s="57">
        <v>280</v>
      </c>
      <c r="W218" s="58"/>
      <c r="X218" s="58">
        <v>19.600000000000001</v>
      </c>
      <c r="Y218" s="58"/>
      <c r="Z218" s="58">
        <f>219.45+266+156.1</f>
        <v>641.54999999999995</v>
      </c>
      <c r="AA218" s="58">
        <v>4817.75</v>
      </c>
      <c r="AB218" s="58">
        <f t="shared" si="37"/>
        <v>5758.9000000000005</v>
      </c>
      <c r="AC218" s="58"/>
      <c r="AD218" s="59">
        <v>5.8999999999999997E-2</v>
      </c>
      <c r="AE218" s="60">
        <f t="shared" si="82"/>
        <v>819.65480054794511</v>
      </c>
      <c r="AF218" s="61"/>
      <c r="AG218" s="59"/>
      <c r="AH218" s="60">
        <f t="shared" si="83"/>
        <v>0</v>
      </c>
      <c r="AI218" s="62"/>
      <c r="AJ218" s="62">
        <f t="shared" si="6"/>
        <v>819.65480054794511</v>
      </c>
      <c r="AK218" s="63">
        <f t="shared" si="40"/>
        <v>819.65480054794511</v>
      </c>
      <c r="AL218" s="64">
        <f t="shared" si="41"/>
        <v>1480.804800547945</v>
      </c>
      <c r="AP218" s="65">
        <f t="shared" si="8"/>
        <v>1</v>
      </c>
      <c r="AQ218" s="16">
        <f t="shared" si="9"/>
        <v>1</v>
      </c>
      <c r="AR218" s="16">
        <f t="shared" si="10"/>
        <v>1</v>
      </c>
      <c r="AS218" s="66">
        <f t="shared" si="11"/>
        <v>10018.36</v>
      </c>
      <c r="AT218" s="67">
        <f t="shared" si="12"/>
        <v>28170.81</v>
      </c>
      <c r="AU218" s="68">
        <f t="shared" si="80"/>
        <v>7.5666666666666664</v>
      </c>
      <c r="AV218" s="19">
        <f t="shared" si="14"/>
        <v>4.1145963489272793E-3</v>
      </c>
      <c r="AW218" s="69">
        <f t="shared" si="15"/>
        <v>0</v>
      </c>
      <c r="AY218" s="65">
        <f t="shared" si="16"/>
        <v>0</v>
      </c>
      <c r="AZ218" s="16">
        <f t="shared" si="17"/>
        <v>1</v>
      </c>
      <c r="BA218" s="16">
        <f t="shared" si="18"/>
        <v>0</v>
      </c>
      <c r="BB218" s="70">
        <f t="shared" si="19"/>
        <v>0</v>
      </c>
      <c r="BC218" s="67">
        <f t="shared" si="20"/>
        <v>0</v>
      </c>
      <c r="BD218" s="71">
        <f t="shared" si="21"/>
        <v>0</v>
      </c>
      <c r="BE218" s="19">
        <f t="shared" si="22"/>
        <v>0</v>
      </c>
      <c r="BF218" s="69">
        <f t="shared" si="23"/>
        <v>0</v>
      </c>
      <c r="BH218" s="72">
        <f t="shared" si="24"/>
        <v>28170.81</v>
      </c>
      <c r="BI218" s="73">
        <f t="shared" si="25"/>
        <v>1</v>
      </c>
      <c r="BJ218" s="74">
        <f t="shared" si="26"/>
        <v>2.5044388813736935E-3</v>
      </c>
      <c r="BK218" s="75">
        <f t="shared" si="27"/>
        <v>0</v>
      </c>
      <c r="BM218" s="76">
        <f t="shared" si="28"/>
        <v>1</v>
      </c>
    </row>
    <row r="219" spans="1:65" ht="12.75" customHeight="1" x14ac:dyDescent="0.2">
      <c r="A219" s="47"/>
      <c r="B219" s="48" t="s">
        <v>447</v>
      </c>
      <c r="C219" s="49">
        <v>40500</v>
      </c>
      <c r="D219" s="50">
        <v>13</v>
      </c>
      <c r="E219" s="49">
        <v>39533.94</v>
      </c>
      <c r="F219" s="50" t="s">
        <v>55</v>
      </c>
      <c r="G219" s="51">
        <v>44099</v>
      </c>
      <c r="H219" s="52" t="s">
        <v>56</v>
      </c>
      <c r="I219" s="51">
        <v>44404</v>
      </c>
      <c r="J219" s="52">
        <f t="shared" si="84"/>
        <v>10.166666666666666</v>
      </c>
      <c r="K219" s="53" t="s">
        <v>448</v>
      </c>
      <c r="L219" s="53">
        <v>50000</v>
      </c>
      <c r="M219" s="54">
        <v>1490.89</v>
      </c>
      <c r="N219" s="54">
        <v>10549.96</v>
      </c>
      <c r="O219" s="54">
        <v>245.16</v>
      </c>
      <c r="P219" s="54">
        <f t="shared" si="69"/>
        <v>0</v>
      </c>
      <c r="Q219" s="54">
        <f t="shared" si="70"/>
        <v>1819.950000000001</v>
      </c>
      <c r="R219" s="55">
        <f t="shared" si="71"/>
        <v>4.6035128297356676E-2</v>
      </c>
      <c r="S219" s="55">
        <f t="shared" si="72"/>
        <v>0.95396487170264332</v>
      </c>
      <c r="T219" s="56"/>
      <c r="V219" s="57">
        <v>286.75</v>
      </c>
      <c r="W219" s="58"/>
      <c r="X219" s="58">
        <v>20.07</v>
      </c>
      <c r="Y219" s="58"/>
      <c r="Z219" s="58">
        <f>180.42+140.12</f>
        <v>320.53999999999996</v>
      </c>
      <c r="AA219" s="58">
        <v>7488.24</v>
      </c>
      <c r="AB219" s="58">
        <f t="shared" si="37"/>
        <v>8115.5999999999995</v>
      </c>
      <c r="AC219" s="58"/>
      <c r="AD219" s="59">
        <v>5.8999999999999997E-2</v>
      </c>
      <c r="AE219" s="60">
        <f t="shared" si="82"/>
        <v>1150.2751857534247</v>
      </c>
      <c r="AF219" s="61"/>
      <c r="AG219" s="59"/>
      <c r="AH219" s="60">
        <f t="shared" si="83"/>
        <v>0</v>
      </c>
      <c r="AI219" s="62"/>
      <c r="AJ219" s="62">
        <f t="shared" si="6"/>
        <v>1150.2751857534247</v>
      </c>
      <c r="AK219" s="63">
        <f t="shared" si="40"/>
        <v>1150.2751857534247</v>
      </c>
      <c r="AL219" s="64">
        <f t="shared" si="41"/>
        <v>1490.8851857534246</v>
      </c>
      <c r="AP219" s="65">
        <f t="shared" si="8"/>
        <v>1</v>
      </c>
      <c r="AQ219" s="16">
        <f t="shared" si="9"/>
        <v>1</v>
      </c>
      <c r="AR219" s="16">
        <f t="shared" si="10"/>
        <v>1</v>
      </c>
      <c r="AS219" s="66">
        <f t="shared" si="11"/>
        <v>10795.119999999999</v>
      </c>
      <c r="AT219" s="67">
        <f t="shared" si="12"/>
        <v>39533.94</v>
      </c>
      <c r="AU219" s="68">
        <f t="shared" si="80"/>
        <v>10.166666666666666</v>
      </c>
      <c r="AV219" s="19">
        <f t="shared" si="14"/>
        <v>5.7742821446280781E-3</v>
      </c>
      <c r="AW219" s="69">
        <f t="shared" si="15"/>
        <v>2.6581981935308943E-4</v>
      </c>
      <c r="AY219" s="65">
        <f t="shared" si="16"/>
        <v>0</v>
      </c>
      <c r="AZ219" s="16">
        <f t="shared" si="17"/>
        <v>1</v>
      </c>
      <c r="BA219" s="16">
        <f t="shared" si="18"/>
        <v>0</v>
      </c>
      <c r="BB219" s="70">
        <f t="shared" si="19"/>
        <v>0</v>
      </c>
      <c r="BC219" s="67">
        <f t="shared" si="20"/>
        <v>0</v>
      </c>
      <c r="BD219" s="71">
        <f t="shared" si="21"/>
        <v>0</v>
      </c>
      <c r="BE219" s="19">
        <f t="shared" si="22"/>
        <v>0</v>
      </c>
      <c r="BF219" s="69">
        <f t="shared" si="23"/>
        <v>0</v>
      </c>
      <c r="BH219" s="72">
        <f t="shared" si="24"/>
        <v>39533.94</v>
      </c>
      <c r="BI219" s="73">
        <f t="shared" si="25"/>
        <v>1</v>
      </c>
      <c r="BJ219" s="74">
        <f t="shared" si="26"/>
        <v>3.5146428686251736E-3</v>
      </c>
      <c r="BK219" s="75">
        <f t="shared" si="27"/>
        <v>1.6179703537654957E-4</v>
      </c>
      <c r="BM219" s="76">
        <f t="shared" si="28"/>
        <v>1</v>
      </c>
    </row>
    <row r="220" spans="1:65" ht="12.75" customHeight="1" x14ac:dyDescent="0.2">
      <c r="A220" s="47"/>
      <c r="B220" s="48" t="s">
        <v>449</v>
      </c>
      <c r="C220" s="49">
        <v>35200</v>
      </c>
      <c r="D220" s="50">
        <v>13</v>
      </c>
      <c r="E220" s="49">
        <v>31716.89</v>
      </c>
      <c r="F220" s="50" t="s">
        <v>55</v>
      </c>
      <c r="G220" s="51">
        <v>44105</v>
      </c>
      <c r="H220" s="52" t="s">
        <v>56</v>
      </c>
      <c r="I220" s="51">
        <v>44459</v>
      </c>
      <c r="J220" s="52">
        <f t="shared" si="84"/>
        <v>11.8</v>
      </c>
      <c r="K220" s="53" t="s">
        <v>450</v>
      </c>
      <c r="L220" s="53">
        <v>54000</v>
      </c>
      <c r="M220" s="54">
        <v>1904</v>
      </c>
      <c r="N220" s="54">
        <v>8124.1</v>
      </c>
      <c r="O220" s="54">
        <v>2187.35</v>
      </c>
      <c r="P220" s="54">
        <f t="shared" si="69"/>
        <v>0</v>
      </c>
      <c r="Q220" s="54">
        <f t="shared" si="70"/>
        <v>0</v>
      </c>
      <c r="R220" s="55">
        <f t="shared" si="71"/>
        <v>0</v>
      </c>
      <c r="S220" s="55">
        <f t="shared" si="72"/>
        <v>1</v>
      </c>
      <c r="T220" s="56"/>
      <c r="V220" s="57">
        <v>204</v>
      </c>
      <c r="W220" s="58"/>
      <c r="X220" s="58">
        <v>14.28</v>
      </c>
      <c r="Y220" s="58">
        <v>152.24</v>
      </c>
      <c r="Z220" s="58">
        <f>91.97+330.14+83.13+155.72+59.84</f>
        <v>720.80000000000007</v>
      </c>
      <c r="AA220" s="58">
        <f>2517.48+1316.53</f>
        <v>3834.01</v>
      </c>
      <c r="AB220" s="58">
        <f t="shared" si="37"/>
        <v>4925.33</v>
      </c>
      <c r="AC220" s="58">
        <v>20445.22</v>
      </c>
      <c r="AD220" s="59">
        <v>6.5000000000000002E-2</v>
      </c>
      <c r="AE220" s="60">
        <f>((AC220*AD220)/365)*180</f>
        <v>655.36732602739744</v>
      </c>
      <c r="AF220" s="61">
        <v>11271.67</v>
      </c>
      <c r="AG220" s="59">
        <v>6.5000000000000002E-2</v>
      </c>
      <c r="AH220" s="60">
        <f>((AF220*AG220)/365)*180</f>
        <v>361.31106575342466</v>
      </c>
      <c r="AI220" s="62">
        <f>AC220+AF220</f>
        <v>31716.89</v>
      </c>
      <c r="AJ220" s="62">
        <f t="shared" si="6"/>
        <v>1016.678391780822</v>
      </c>
      <c r="AK220" s="63">
        <f t="shared" si="40"/>
        <v>1016.678391780822</v>
      </c>
      <c r="AL220" s="64">
        <f t="shared" si="41"/>
        <v>1903.9983917808222</v>
      </c>
      <c r="AP220" s="65">
        <f t="shared" si="8"/>
        <v>1</v>
      </c>
      <c r="AQ220" s="16">
        <f t="shared" si="9"/>
        <v>1</v>
      </c>
      <c r="AR220" s="16">
        <f t="shared" si="10"/>
        <v>1</v>
      </c>
      <c r="AS220" s="66">
        <f t="shared" si="11"/>
        <v>10311.450000000001</v>
      </c>
      <c r="AT220" s="67">
        <f t="shared" si="12"/>
        <v>31716.89</v>
      </c>
      <c r="AU220" s="68">
        <f t="shared" si="80"/>
        <v>11.8</v>
      </c>
      <c r="AV220" s="19">
        <f t="shared" si="14"/>
        <v>4.632532745537956E-3</v>
      </c>
      <c r="AW220" s="69">
        <f t="shared" si="15"/>
        <v>0</v>
      </c>
      <c r="AY220" s="65">
        <f t="shared" si="16"/>
        <v>0</v>
      </c>
      <c r="AZ220" s="16">
        <f t="shared" si="17"/>
        <v>1</v>
      </c>
      <c r="BA220" s="16">
        <f t="shared" si="18"/>
        <v>0</v>
      </c>
      <c r="BB220" s="70">
        <f t="shared" si="19"/>
        <v>0</v>
      </c>
      <c r="BC220" s="67">
        <f t="shared" si="20"/>
        <v>0</v>
      </c>
      <c r="BD220" s="71">
        <f t="shared" si="21"/>
        <v>0</v>
      </c>
      <c r="BE220" s="19">
        <f t="shared" si="22"/>
        <v>0</v>
      </c>
      <c r="BF220" s="69">
        <f t="shared" si="23"/>
        <v>0</v>
      </c>
      <c r="BH220" s="72">
        <f t="shared" si="24"/>
        <v>31716.89</v>
      </c>
      <c r="BI220" s="73">
        <f t="shared" si="25"/>
        <v>1</v>
      </c>
      <c r="BJ220" s="74">
        <f t="shared" si="26"/>
        <v>2.8196921747103646E-3</v>
      </c>
      <c r="BK220" s="75">
        <f t="shared" si="27"/>
        <v>0</v>
      </c>
      <c r="BM220" s="76">
        <f t="shared" si="28"/>
        <v>1</v>
      </c>
    </row>
    <row r="221" spans="1:65" ht="12.75" customHeight="1" x14ac:dyDescent="0.2">
      <c r="A221" s="47"/>
      <c r="B221" s="48" t="s">
        <v>451</v>
      </c>
      <c r="C221" s="49">
        <v>66825</v>
      </c>
      <c r="D221" s="50">
        <v>13</v>
      </c>
      <c r="E221" s="49">
        <v>65013.63</v>
      </c>
      <c r="F221" s="50" t="s">
        <v>55</v>
      </c>
      <c r="G221" s="51">
        <v>44110</v>
      </c>
      <c r="H221" s="52" t="s">
        <v>56</v>
      </c>
      <c r="I221" s="51">
        <v>44533</v>
      </c>
      <c r="J221" s="52">
        <f t="shared" si="84"/>
        <v>14.1</v>
      </c>
      <c r="K221" s="53" t="s">
        <v>452</v>
      </c>
      <c r="L221" s="53">
        <v>79000</v>
      </c>
      <c r="M221" s="54">
        <v>1497</v>
      </c>
      <c r="N221" s="54">
        <v>7689.44</v>
      </c>
      <c r="O221" s="54">
        <v>100</v>
      </c>
      <c r="P221" s="54">
        <f t="shared" si="69"/>
        <v>0</v>
      </c>
      <c r="Q221" s="54">
        <f t="shared" si="70"/>
        <v>0</v>
      </c>
      <c r="R221" s="55">
        <f t="shared" si="71"/>
        <v>0</v>
      </c>
      <c r="S221" s="55">
        <f t="shared" si="72"/>
        <v>1</v>
      </c>
      <c r="T221" s="56"/>
      <c r="V221" s="57">
        <v>351.5</v>
      </c>
      <c r="W221" s="58"/>
      <c r="X221" s="58">
        <v>24.61</v>
      </c>
      <c r="Y221" s="58"/>
      <c r="Z221" s="58">
        <f>375.06+346.56+269.42</f>
        <v>991.04</v>
      </c>
      <c r="AA221" s="58">
        <v>3040.5</v>
      </c>
      <c r="AB221" s="58">
        <f t="shared" si="37"/>
        <v>4407.6499999999996</v>
      </c>
      <c r="AC221" s="58"/>
      <c r="AD221" s="59">
        <v>1.4999999999999999E-2</v>
      </c>
      <c r="AE221" s="60">
        <f t="shared" ref="AE221:AE224" si="85">((E221*AD221)/365)*180</f>
        <v>480.9227424657534</v>
      </c>
      <c r="AF221" s="61"/>
      <c r="AG221" s="59"/>
      <c r="AH221" s="60">
        <f t="shared" ref="AH221:AH224" si="86">((E221*AG221)/365)*180</f>
        <v>0</v>
      </c>
      <c r="AI221" s="62"/>
      <c r="AJ221" s="62">
        <f t="shared" si="6"/>
        <v>480.9227424657534</v>
      </c>
      <c r="AK221" s="63">
        <f t="shared" si="40"/>
        <v>480.9227424657534</v>
      </c>
      <c r="AL221" s="64">
        <f t="shared" si="41"/>
        <v>1496.5727424657534</v>
      </c>
      <c r="AP221" s="65">
        <f t="shared" si="8"/>
        <v>1</v>
      </c>
      <c r="AQ221" s="16">
        <f t="shared" si="9"/>
        <v>1</v>
      </c>
      <c r="AR221" s="16">
        <f t="shared" si="10"/>
        <v>1</v>
      </c>
      <c r="AS221" s="66">
        <f t="shared" si="11"/>
        <v>7789.44</v>
      </c>
      <c r="AT221" s="67">
        <f t="shared" si="12"/>
        <v>65013.63</v>
      </c>
      <c r="AU221" s="68">
        <f t="shared" si="80"/>
        <v>14.1</v>
      </c>
      <c r="AV221" s="19">
        <f t="shared" si="14"/>
        <v>9.4958165785261044E-3</v>
      </c>
      <c r="AW221" s="69">
        <f t="shared" si="15"/>
        <v>0</v>
      </c>
      <c r="AY221" s="65">
        <f t="shared" si="16"/>
        <v>0</v>
      </c>
      <c r="AZ221" s="16">
        <f t="shared" si="17"/>
        <v>1</v>
      </c>
      <c r="BA221" s="16">
        <f t="shared" si="18"/>
        <v>0</v>
      </c>
      <c r="BB221" s="70">
        <f t="shared" si="19"/>
        <v>0</v>
      </c>
      <c r="BC221" s="67">
        <f t="shared" si="20"/>
        <v>0</v>
      </c>
      <c r="BD221" s="71">
        <f t="shared" si="21"/>
        <v>0</v>
      </c>
      <c r="BE221" s="19">
        <f t="shared" si="22"/>
        <v>0</v>
      </c>
      <c r="BF221" s="69">
        <f t="shared" si="23"/>
        <v>0</v>
      </c>
      <c r="BH221" s="72">
        <f t="shared" si="24"/>
        <v>65013.63</v>
      </c>
      <c r="BI221" s="73">
        <f t="shared" si="25"/>
        <v>1</v>
      </c>
      <c r="BJ221" s="74">
        <f t="shared" si="26"/>
        <v>5.7798360356426806E-3</v>
      </c>
      <c r="BK221" s="75">
        <f t="shared" si="27"/>
        <v>0</v>
      </c>
      <c r="BM221" s="76">
        <f t="shared" si="28"/>
        <v>1</v>
      </c>
    </row>
    <row r="222" spans="1:65" ht="12.75" customHeight="1" x14ac:dyDescent="0.2">
      <c r="A222" s="47"/>
      <c r="B222" s="48" t="s">
        <v>453</v>
      </c>
      <c r="C222" s="49">
        <v>29700</v>
      </c>
      <c r="D222" s="50">
        <v>13</v>
      </c>
      <c r="E222" s="49">
        <v>24622.13</v>
      </c>
      <c r="F222" s="50" t="s">
        <v>55</v>
      </c>
      <c r="G222" s="51">
        <v>44158</v>
      </c>
      <c r="H222" s="52" t="s">
        <v>56</v>
      </c>
      <c r="I222" s="51">
        <v>44777</v>
      </c>
      <c r="J222" s="52">
        <f t="shared" si="84"/>
        <v>20.633333333333333</v>
      </c>
      <c r="K222" s="53" t="s">
        <v>454</v>
      </c>
      <c r="L222" s="53">
        <v>37500</v>
      </c>
      <c r="M222" s="54">
        <v>465.27</v>
      </c>
      <c r="N222" s="54">
        <v>6727.41</v>
      </c>
      <c r="O222" s="54">
        <v>4409.38</v>
      </c>
      <c r="P222" s="54">
        <f t="shared" si="69"/>
        <v>0</v>
      </c>
      <c r="Q222" s="54">
        <f t="shared" si="70"/>
        <v>0</v>
      </c>
      <c r="R222" s="55">
        <f t="shared" si="71"/>
        <v>0</v>
      </c>
      <c r="S222" s="55">
        <f t="shared" si="72"/>
        <v>1</v>
      </c>
      <c r="T222" s="56"/>
      <c r="V222" s="57">
        <v>312</v>
      </c>
      <c r="W222" s="58"/>
      <c r="X222" s="58">
        <v>21.84</v>
      </c>
      <c r="Y222" s="58"/>
      <c r="Z222" s="58">
        <f>155.61+121.68+166.14</f>
        <v>443.43</v>
      </c>
      <c r="AA222" s="58"/>
      <c r="AB222" s="58">
        <f t="shared" si="37"/>
        <v>777.27</v>
      </c>
      <c r="AC222" s="58"/>
      <c r="AD222" s="59">
        <v>0</v>
      </c>
      <c r="AE222" s="60">
        <f t="shared" si="85"/>
        <v>0</v>
      </c>
      <c r="AF222" s="61"/>
      <c r="AG222" s="59"/>
      <c r="AH222" s="60">
        <f t="shared" si="86"/>
        <v>0</v>
      </c>
      <c r="AI222" s="62"/>
      <c r="AJ222" s="62">
        <f t="shared" si="6"/>
        <v>0</v>
      </c>
      <c r="AK222" s="63">
        <f t="shared" si="40"/>
        <v>0</v>
      </c>
      <c r="AL222" s="64">
        <f t="shared" si="41"/>
        <v>465.27</v>
      </c>
      <c r="AP222" s="65">
        <f t="shared" si="8"/>
        <v>1</v>
      </c>
      <c r="AQ222" s="16">
        <f t="shared" si="9"/>
        <v>1</v>
      </c>
      <c r="AR222" s="16">
        <f t="shared" si="10"/>
        <v>1</v>
      </c>
      <c r="AS222" s="66">
        <f t="shared" si="11"/>
        <v>11136.79</v>
      </c>
      <c r="AT222" s="67">
        <f t="shared" si="12"/>
        <v>24622.13</v>
      </c>
      <c r="AU222" s="68">
        <f t="shared" si="80"/>
        <v>20.633333333333333</v>
      </c>
      <c r="AV222" s="19">
        <f t="shared" si="14"/>
        <v>3.5962801992847496E-3</v>
      </c>
      <c r="AW222" s="69">
        <f t="shared" si="15"/>
        <v>0</v>
      </c>
      <c r="AY222" s="65">
        <f t="shared" si="16"/>
        <v>0</v>
      </c>
      <c r="AZ222" s="16">
        <f t="shared" si="17"/>
        <v>1</v>
      </c>
      <c r="BA222" s="16">
        <f t="shared" si="18"/>
        <v>0</v>
      </c>
      <c r="BB222" s="70">
        <f t="shared" si="19"/>
        <v>0</v>
      </c>
      <c r="BC222" s="67">
        <f t="shared" si="20"/>
        <v>0</v>
      </c>
      <c r="BD222" s="71">
        <f t="shared" si="21"/>
        <v>0</v>
      </c>
      <c r="BE222" s="19">
        <f t="shared" si="22"/>
        <v>0</v>
      </c>
      <c r="BF222" s="69">
        <f t="shared" si="23"/>
        <v>0</v>
      </c>
      <c r="BH222" s="72">
        <f t="shared" si="24"/>
        <v>24622.13</v>
      </c>
      <c r="BI222" s="73">
        <f t="shared" si="25"/>
        <v>1</v>
      </c>
      <c r="BJ222" s="74">
        <f t="shared" si="26"/>
        <v>2.1889544430649193E-3</v>
      </c>
      <c r="BK222" s="75">
        <f t="shared" si="27"/>
        <v>0</v>
      </c>
      <c r="BM222" s="76">
        <f t="shared" si="28"/>
        <v>1</v>
      </c>
    </row>
    <row r="223" spans="1:65" ht="12.75" customHeight="1" x14ac:dyDescent="0.2">
      <c r="A223" s="47"/>
      <c r="B223" s="48" t="s">
        <v>455</v>
      </c>
      <c r="C223" s="49">
        <v>30350</v>
      </c>
      <c r="D223" s="50">
        <v>13</v>
      </c>
      <c r="E223" s="49">
        <v>24601.64</v>
      </c>
      <c r="F223" s="50" t="s">
        <v>55</v>
      </c>
      <c r="G223" s="51">
        <v>44158</v>
      </c>
      <c r="H223" s="52" t="s">
        <v>56</v>
      </c>
      <c r="I223" s="51">
        <v>44280</v>
      </c>
      <c r="J223" s="52">
        <f t="shared" si="84"/>
        <v>4.0666666666666664</v>
      </c>
      <c r="K223" s="53" t="s">
        <v>456</v>
      </c>
      <c r="L223" s="53">
        <v>42750</v>
      </c>
      <c r="M223" s="54">
        <v>357.56</v>
      </c>
      <c r="N223" s="54">
        <v>4154.2299999999996</v>
      </c>
      <c r="O223" s="54">
        <v>0</v>
      </c>
      <c r="P223" s="54">
        <f t="shared" si="69"/>
        <v>0</v>
      </c>
      <c r="Q223" s="54">
        <f t="shared" si="70"/>
        <v>0</v>
      </c>
      <c r="R223" s="55">
        <f t="shared" si="71"/>
        <v>0</v>
      </c>
      <c r="S223" s="55">
        <f t="shared" si="72"/>
        <v>1</v>
      </c>
      <c r="T223" s="56"/>
      <c r="V223" s="57">
        <v>224</v>
      </c>
      <c r="W223" s="58"/>
      <c r="X223" s="58">
        <v>15.68</v>
      </c>
      <c r="Y223" s="58"/>
      <c r="Z223" s="58">
        <f>130.48+89.32+122.08</f>
        <v>341.88</v>
      </c>
      <c r="AA223" s="58"/>
      <c r="AB223" s="58">
        <f t="shared" si="37"/>
        <v>581.55999999999995</v>
      </c>
      <c r="AC223" s="58"/>
      <c r="AD223" s="59">
        <v>0</v>
      </c>
      <c r="AE223" s="60">
        <f t="shared" si="85"/>
        <v>0</v>
      </c>
      <c r="AF223" s="61"/>
      <c r="AG223" s="59"/>
      <c r="AH223" s="60">
        <f t="shared" si="86"/>
        <v>0</v>
      </c>
      <c r="AI223" s="62"/>
      <c r="AJ223" s="62">
        <f t="shared" si="6"/>
        <v>0</v>
      </c>
      <c r="AK223" s="63">
        <f t="shared" si="40"/>
        <v>0</v>
      </c>
      <c r="AL223" s="64">
        <f t="shared" si="41"/>
        <v>357.56</v>
      </c>
      <c r="AP223" s="65">
        <f t="shared" si="8"/>
        <v>1</v>
      </c>
      <c r="AQ223" s="16">
        <f t="shared" si="9"/>
        <v>1</v>
      </c>
      <c r="AR223" s="16">
        <f t="shared" si="10"/>
        <v>1</v>
      </c>
      <c r="AS223" s="66">
        <f t="shared" si="11"/>
        <v>4154.2299999999996</v>
      </c>
      <c r="AT223" s="67">
        <f t="shared" si="12"/>
        <v>24601.64</v>
      </c>
      <c r="AU223" s="68">
        <f t="shared" si="80"/>
        <v>4.0666666666666664</v>
      </c>
      <c r="AV223" s="19">
        <f t="shared" si="14"/>
        <v>3.5932874532760436E-3</v>
      </c>
      <c r="AW223" s="69">
        <f t="shared" si="15"/>
        <v>0</v>
      </c>
      <c r="AY223" s="65">
        <f t="shared" si="16"/>
        <v>0</v>
      </c>
      <c r="AZ223" s="16">
        <f t="shared" si="17"/>
        <v>1</v>
      </c>
      <c r="BA223" s="16">
        <f t="shared" si="18"/>
        <v>0</v>
      </c>
      <c r="BB223" s="70">
        <f t="shared" si="19"/>
        <v>0</v>
      </c>
      <c r="BC223" s="67">
        <f t="shared" si="20"/>
        <v>0</v>
      </c>
      <c r="BD223" s="71">
        <f t="shared" si="21"/>
        <v>0</v>
      </c>
      <c r="BE223" s="19">
        <f t="shared" si="22"/>
        <v>0</v>
      </c>
      <c r="BF223" s="69">
        <f t="shared" si="23"/>
        <v>0</v>
      </c>
      <c r="BH223" s="72">
        <f t="shared" si="24"/>
        <v>24601.64</v>
      </c>
      <c r="BI223" s="73">
        <f t="shared" si="25"/>
        <v>1</v>
      </c>
      <c r="BJ223" s="74">
        <f t="shared" si="26"/>
        <v>2.1871328428809222E-3</v>
      </c>
      <c r="BK223" s="75">
        <f t="shared" si="27"/>
        <v>0</v>
      </c>
      <c r="BM223" s="76">
        <f t="shared" si="28"/>
        <v>1</v>
      </c>
    </row>
    <row r="224" spans="1:65" ht="12.75" customHeight="1" x14ac:dyDescent="0.2">
      <c r="A224" s="47"/>
      <c r="B224" s="48" t="s">
        <v>457</v>
      </c>
      <c r="C224" s="49">
        <v>42570</v>
      </c>
      <c r="D224" s="50">
        <v>13</v>
      </c>
      <c r="E224" s="49">
        <v>41274.39</v>
      </c>
      <c r="F224" s="50" t="s">
        <v>55</v>
      </c>
      <c r="G224" s="51">
        <v>44159</v>
      </c>
      <c r="H224" s="52" t="s">
        <v>56</v>
      </c>
      <c r="I224" s="51">
        <v>44377</v>
      </c>
      <c r="J224" s="52">
        <f t="shared" si="84"/>
        <v>7.2666666666666666</v>
      </c>
      <c r="K224" s="53" t="s">
        <v>458</v>
      </c>
      <c r="L224" s="53">
        <v>46000</v>
      </c>
      <c r="M224" s="54">
        <v>613.78</v>
      </c>
      <c r="N224" s="54">
        <v>7277</v>
      </c>
      <c r="O224" s="54">
        <v>2050</v>
      </c>
      <c r="P224" s="54">
        <f t="shared" si="69"/>
        <v>0</v>
      </c>
      <c r="Q224" s="54">
        <f t="shared" si="70"/>
        <v>5215.1699999999992</v>
      </c>
      <c r="R224" s="55">
        <f t="shared" si="71"/>
        <v>0.12635365416666361</v>
      </c>
      <c r="S224" s="55">
        <f t="shared" si="72"/>
        <v>0.87364634583333634</v>
      </c>
      <c r="T224" s="56"/>
      <c r="V224" s="57">
        <v>296</v>
      </c>
      <c r="W224" s="58"/>
      <c r="X224" s="58">
        <v>20.72</v>
      </c>
      <c r="Y224" s="58"/>
      <c r="Z224" s="58">
        <f>143.04+144.64</f>
        <v>287.67999999999995</v>
      </c>
      <c r="AA224" s="58">
        <v>1671.9</v>
      </c>
      <c r="AB224" s="58">
        <f t="shared" si="37"/>
        <v>2276.3000000000002</v>
      </c>
      <c r="AC224" s="58"/>
      <c r="AD224" s="59">
        <v>1.4999999999999999E-2</v>
      </c>
      <c r="AE224" s="60">
        <f t="shared" si="85"/>
        <v>305.31740547945208</v>
      </c>
      <c r="AF224" s="61"/>
      <c r="AG224" s="59"/>
      <c r="AH224" s="60">
        <f t="shared" si="86"/>
        <v>0</v>
      </c>
      <c r="AI224" s="62"/>
      <c r="AJ224" s="62">
        <f t="shared" si="6"/>
        <v>305.31740547945208</v>
      </c>
      <c r="AK224" s="63">
        <f t="shared" si="40"/>
        <v>305.31740547945208</v>
      </c>
      <c r="AL224" s="64">
        <f t="shared" si="41"/>
        <v>613.71740547945205</v>
      </c>
      <c r="AP224" s="65">
        <f t="shared" si="8"/>
        <v>1</v>
      </c>
      <c r="AQ224" s="16">
        <f t="shared" si="9"/>
        <v>1</v>
      </c>
      <c r="AR224" s="16">
        <f t="shared" si="10"/>
        <v>1</v>
      </c>
      <c r="AS224" s="66">
        <f t="shared" si="11"/>
        <v>9327</v>
      </c>
      <c r="AT224" s="67">
        <f t="shared" si="12"/>
        <v>41274.39</v>
      </c>
      <c r="AU224" s="68">
        <f t="shared" si="80"/>
        <v>7.2666666666666666</v>
      </c>
      <c r="AV224" s="19">
        <f t="shared" si="14"/>
        <v>6.0284902847380171E-3</v>
      </c>
      <c r="AW224" s="69">
        <f t="shared" si="15"/>
        <v>7.6172177658487879E-4</v>
      </c>
      <c r="AY224" s="65">
        <f t="shared" si="16"/>
        <v>0</v>
      </c>
      <c r="AZ224" s="16">
        <f t="shared" si="17"/>
        <v>1</v>
      </c>
      <c r="BA224" s="16">
        <f t="shared" si="18"/>
        <v>0</v>
      </c>
      <c r="BB224" s="70">
        <f t="shared" si="19"/>
        <v>0</v>
      </c>
      <c r="BC224" s="67">
        <f t="shared" si="20"/>
        <v>0</v>
      </c>
      <c r="BD224" s="71">
        <f t="shared" si="21"/>
        <v>0</v>
      </c>
      <c r="BE224" s="19">
        <f t="shared" si="22"/>
        <v>0</v>
      </c>
      <c r="BF224" s="69">
        <f t="shared" si="23"/>
        <v>0</v>
      </c>
      <c r="BH224" s="72">
        <f t="shared" si="24"/>
        <v>41274.39</v>
      </c>
      <c r="BI224" s="73">
        <f t="shared" si="25"/>
        <v>1</v>
      </c>
      <c r="BJ224" s="74">
        <f t="shared" si="26"/>
        <v>3.6693722019701088E-3</v>
      </c>
      <c r="BK224" s="75">
        <f t="shared" si="27"/>
        <v>4.6363858621650003E-4</v>
      </c>
      <c r="BM224" s="76">
        <f t="shared" si="28"/>
        <v>1</v>
      </c>
    </row>
    <row r="225" spans="1:65" ht="12.75" customHeight="1" x14ac:dyDescent="0.2">
      <c r="A225" s="47"/>
      <c r="B225" s="48" t="s">
        <v>459</v>
      </c>
      <c r="C225" s="49">
        <v>79011</v>
      </c>
      <c r="D225" s="50">
        <v>13</v>
      </c>
      <c r="E225" s="49">
        <v>64769.15</v>
      </c>
      <c r="F225" s="50" t="s">
        <v>55</v>
      </c>
      <c r="G225" s="51">
        <v>44159</v>
      </c>
      <c r="H225" s="52" t="s">
        <v>56</v>
      </c>
      <c r="I225" s="51">
        <v>44680</v>
      </c>
      <c r="J225" s="52">
        <f t="shared" si="84"/>
        <v>17.366666666666667</v>
      </c>
      <c r="K225" s="53" t="s">
        <v>460</v>
      </c>
      <c r="L225" s="53">
        <v>110000</v>
      </c>
      <c r="M225" s="54">
        <v>3778.49</v>
      </c>
      <c r="N225" s="54">
        <v>14460.29</v>
      </c>
      <c r="O225" s="54">
        <v>4907.3999999999996</v>
      </c>
      <c r="P225" s="54">
        <f t="shared" si="69"/>
        <v>0</v>
      </c>
      <c r="Q225" s="54">
        <f t="shared" si="70"/>
        <v>0</v>
      </c>
      <c r="R225" s="55">
        <f t="shared" si="71"/>
        <v>0</v>
      </c>
      <c r="S225" s="55">
        <f t="shared" si="72"/>
        <v>1</v>
      </c>
      <c r="T225" s="56"/>
      <c r="V225" s="57">
        <v>272.25</v>
      </c>
      <c r="W225" s="58"/>
      <c r="X225" s="58">
        <v>19.059999999999999</v>
      </c>
      <c r="Y225" s="58">
        <v>494.56</v>
      </c>
      <c r="Z225" s="58">
        <f>802.89+399.3</f>
        <v>1202.19</v>
      </c>
      <c r="AA225" s="58">
        <f>8066.17+3461.9</f>
        <v>11528.07</v>
      </c>
      <c r="AB225" s="58">
        <f t="shared" si="37"/>
        <v>13516.13</v>
      </c>
      <c r="AC225" s="58">
        <v>46825.47</v>
      </c>
      <c r="AD225" s="59">
        <v>6.25E-2</v>
      </c>
      <c r="AE225" s="60">
        <f>((AC225*AD225)/365)*180</f>
        <v>1443.250787671233</v>
      </c>
      <c r="AF225" s="61">
        <v>17943.68</v>
      </c>
      <c r="AG225" s="59">
        <v>7.0000000000000007E-2</v>
      </c>
      <c r="AH225" s="60">
        <f>((AF225*AG225)/365)*180</f>
        <v>619.42566575342471</v>
      </c>
      <c r="AI225" s="62">
        <f>AC225+AF225</f>
        <v>64769.15</v>
      </c>
      <c r="AJ225" s="62">
        <f t="shared" si="6"/>
        <v>2062.6764534246577</v>
      </c>
      <c r="AK225" s="63">
        <f t="shared" si="40"/>
        <v>2062.6764534246577</v>
      </c>
      <c r="AL225" s="64">
        <f t="shared" si="41"/>
        <v>3778.4864534246576</v>
      </c>
      <c r="AP225" s="65">
        <f t="shared" si="8"/>
        <v>1</v>
      </c>
      <c r="AQ225" s="16">
        <f t="shared" si="9"/>
        <v>1</v>
      </c>
      <c r="AR225" s="16">
        <f t="shared" si="10"/>
        <v>1</v>
      </c>
      <c r="AS225" s="66">
        <f t="shared" si="11"/>
        <v>19367.690000000002</v>
      </c>
      <c r="AT225" s="67">
        <f t="shared" si="12"/>
        <v>64769.15</v>
      </c>
      <c r="AU225" s="68">
        <f t="shared" si="80"/>
        <v>17.366666666666667</v>
      </c>
      <c r="AV225" s="19">
        <f t="shared" si="14"/>
        <v>9.4601081088233983E-3</v>
      </c>
      <c r="AW225" s="69">
        <f t="shared" si="15"/>
        <v>0</v>
      </c>
      <c r="AY225" s="65">
        <f t="shared" si="16"/>
        <v>0</v>
      </c>
      <c r="AZ225" s="16">
        <f t="shared" si="17"/>
        <v>1</v>
      </c>
      <c r="BA225" s="16">
        <f t="shared" si="18"/>
        <v>0</v>
      </c>
      <c r="BB225" s="70">
        <f t="shared" si="19"/>
        <v>0</v>
      </c>
      <c r="BC225" s="67">
        <f t="shared" si="20"/>
        <v>0</v>
      </c>
      <c r="BD225" s="71">
        <f t="shared" si="21"/>
        <v>0</v>
      </c>
      <c r="BE225" s="19">
        <f t="shared" si="22"/>
        <v>0</v>
      </c>
      <c r="BF225" s="69">
        <f t="shared" si="23"/>
        <v>0</v>
      </c>
      <c r="BH225" s="72">
        <f t="shared" si="24"/>
        <v>64769.15</v>
      </c>
      <c r="BI225" s="73">
        <f t="shared" si="25"/>
        <v>1</v>
      </c>
      <c r="BJ225" s="74">
        <f t="shared" si="26"/>
        <v>5.7581012961120028E-3</v>
      </c>
      <c r="BK225" s="75">
        <f t="shared" si="27"/>
        <v>0</v>
      </c>
      <c r="BM225" s="76">
        <f t="shared" si="28"/>
        <v>1</v>
      </c>
    </row>
    <row r="226" spans="1:65" ht="12.75" customHeight="1" x14ac:dyDescent="0.2">
      <c r="A226" s="47"/>
      <c r="B226" s="48" t="s">
        <v>461</v>
      </c>
      <c r="C226" s="49">
        <v>30350</v>
      </c>
      <c r="D226" s="50">
        <v>11</v>
      </c>
      <c r="E226" s="49">
        <v>26220.42</v>
      </c>
      <c r="F226" s="50" t="s">
        <v>55</v>
      </c>
      <c r="G226" s="51">
        <v>44172</v>
      </c>
      <c r="H226" s="52" t="s">
        <v>56</v>
      </c>
      <c r="I226" s="51">
        <v>44406</v>
      </c>
      <c r="J226" s="52">
        <f t="shared" si="84"/>
        <v>7.8</v>
      </c>
      <c r="K226" s="53" t="s">
        <v>462</v>
      </c>
      <c r="L226" s="53">
        <v>48500</v>
      </c>
      <c r="M226" s="54">
        <v>287.11</v>
      </c>
      <c r="N226" s="54">
        <v>4669.3</v>
      </c>
      <c r="O226" s="54">
        <v>0</v>
      </c>
      <c r="P226" s="54">
        <f t="shared" si="69"/>
        <v>0</v>
      </c>
      <c r="Q226" s="54">
        <f t="shared" si="70"/>
        <v>0</v>
      </c>
      <c r="R226" s="55">
        <f t="shared" si="71"/>
        <v>0</v>
      </c>
      <c r="S226" s="55">
        <f t="shared" si="72"/>
        <v>1</v>
      </c>
      <c r="T226" s="56"/>
      <c r="V226" s="57">
        <v>249.69</v>
      </c>
      <c r="W226" s="58"/>
      <c r="X226" s="58">
        <v>17.48</v>
      </c>
      <c r="Y226" s="58"/>
      <c r="Z226" s="58">
        <f>93.03+66.99+77.28</f>
        <v>237.29999999999998</v>
      </c>
      <c r="AA226" s="58">
        <v>115.48</v>
      </c>
      <c r="AB226" s="58">
        <f t="shared" si="37"/>
        <v>619.95000000000005</v>
      </c>
      <c r="AC226" s="58"/>
      <c r="AD226" s="59">
        <v>2.5000000000000001E-3</v>
      </c>
      <c r="AE226" s="60">
        <f t="shared" ref="AE226:AE231" si="87">((E226*AD226)/365)*180</f>
        <v>32.326545205479455</v>
      </c>
      <c r="AF226" s="61"/>
      <c r="AG226" s="59"/>
      <c r="AH226" s="60">
        <f t="shared" ref="AH226:AH231" si="88">((E226*AG226)/365)*180</f>
        <v>0</v>
      </c>
      <c r="AI226" s="62"/>
      <c r="AJ226" s="62">
        <f t="shared" si="6"/>
        <v>32.326545205479455</v>
      </c>
      <c r="AK226" s="63">
        <f t="shared" si="40"/>
        <v>32.326545205479455</v>
      </c>
      <c r="AL226" s="64">
        <f t="shared" si="41"/>
        <v>287.10654520547945</v>
      </c>
      <c r="AP226" s="65">
        <f t="shared" si="8"/>
        <v>1</v>
      </c>
      <c r="AQ226" s="16">
        <f t="shared" si="9"/>
        <v>1</v>
      </c>
      <c r="AR226" s="16">
        <f t="shared" si="10"/>
        <v>1</v>
      </c>
      <c r="AS226" s="66">
        <f t="shared" si="11"/>
        <v>4669.3</v>
      </c>
      <c r="AT226" s="67">
        <f t="shared" si="12"/>
        <v>26220.42</v>
      </c>
      <c r="AU226" s="68">
        <f t="shared" si="80"/>
        <v>7.8</v>
      </c>
      <c r="AV226" s="19">
        <f t="shared" si="14"/>
        <v>3.8297246120839192E-3</v>
      </c>
      <c r="AW226" s="69">
        <f t="shared" si="15"/>
        <v>0</v>
      </c>
      <c r="AY226" s="65">
        <f t="shared" si="16"/>
        <v>0</v>
      </c>
      <c r="AZ226" s="16">
        <f t="shared" si="17"/>
        <v>1</v>
      </c>
      <c r="BA226" s="16">
        <f t="shared" si="18"/>
        <v>0</v>
      </c>
      <c r="BB226" s="70">
        <f t="shared" si="19"/>
        <v>0</v>
      </c>
      <c r="BC226" s="67">
        <f t="shared" si="20"/>
        <v>0</v>
      </c>
      <c r="BD226" s="71">
        <f t="shared" si="21"/>
        <v>0</v>
      </c>
      <c r="BE226" s="19">
        <f t="shared" si="22"/>
        <v>0</v>
      </c>
      <c r="BF226" s="69">
        <f t="shared" si="23"/>
        <v>0</v>
      </c>
      <c r="BH226" s="72">
        <f t="shared" si="24"/>
        <v>26220.42</v>
      </c>
      <c r="BI226" s="73">
        <f t="shared" si="25"/>
        <v>1</v>
      </c>
      <c r="BJ226" s="74">
        <f t="shared" si="26"/>
        <v>2.3310454805505563E-3</v>
      </c>
      <c r="BK226" s="75">
        <f t="shared" si="27"/>
        <v>0</v>
      </c>
      <c r="BM226" s="76">
        <f t="shared" si="28"/>
        <v>1</v>
      </c>
    </row>
    <row r="227" spans="1:65" ht="12.75" customHeight="1" x14ac:dyDescent="0.2">
      <c r="A227" s="47"/>
      <c r="B227" s="48" t="s">
        <v>463</v>
      </c>
      <c r="C227" s="49">
        <v>43560</v>
      </c>
      <c r="D227" s="50">
        <v>13</v>
      </c>
      <c r="E227" s="49">
        <v>40347.67</v>
      </c>
      <c r="F227" s="50" t="s">
        <v>55</v>
      </c>
      <c r="G227" s="51">
        <v>44172</v>
      </c>
      <c r="H227" s="52" t="s">
        <v>56</v>
      </c>
      <c r="I227" s="51">
        <v>44834</v>
      </c>
      <c r="J227" s="52">
        <f t="shared" si="84"/>
        <v>22.066666666666666</v>
      </c>
      <c r="K227" s="53" t="s">
        <v>464</v>
      </c>
      <c r="L227" s="53">
        <v>54500</v>
      </c>
      <c r="M227" s="54">
        <v>587.98</v>
      </c>
      <c r="N227" s="54">
        <v>6448.6</v>
      </c>
      <c r="O227" s="54">
        <v>2084.33</v>
      </c>
      <c r="P227" s="54">
        <f t="shared" si="69"/>
        <v>0</v>
      </c>
      <c r="Q227" s="54">
        <f t="shared" si="70"/>
        <v>0</v>
      </c>
      <c r="R227" s="55">
        <f t="shared" si="71"/>
        <v>0</v>
      </c>
      <c r="S227" s="55">
        <f t="shared" si="72"/>
        <v>1</v>
      </c>
      <c r="T227" s="56"/>
      <c r="V227" s="57">
        <v>155.55000000000001</v>
      </c>
      <c r="W227" s="58"/>
      <c r="X227" s="58">
        <v>10.89</v>
      </c>
      <c r="Y227" s="58"/>
      <c r="Z227" s="58">
        <f>78.54+85.51+114.58</f>
        <v>278.63</v>
      </c>
      <c r="AA227" s="58">
        <v>1295.8499999999999</v>
      </c>
      <c r="AB227" s="58">
        <f t="shared" si="37"/>
        <v>1740.92</v>
      </c>
      <c r="AC227" s="58"/>
      <c r="AD227" s="59">
        <v>1.4999999999999999E-2</v>
      </c>
      <c r="AE227" s="60">
        <f t="shared" si="87"/>
        <v>298.46221643835611</v>
      </c>
      <c r="AF227" s="61"/>
      <c r="AG227" s="59"/>
      <c r="AH227" s="60">
        <f t="shared" si="88"/>
        <v>0</v>
      </c>
      <c r="AI227" s="62"/>
      <c r="AJ227" s="62">
        <f t="shared" si="6"/>
        <v>298.46221643835611</v>
      </c>
      <c r="AK227" s="63">
        <f t="shared" si="40"/>
        <v>298.46221643835611</v>
      </c>
      <c r="AL227" s="64">
        <f t="shared" si="41"/>
        <v>587.98221643835609</v>
      </c>
      <c r="AP227" s="65">
        <f t="shared" si="8"/>
        <v>1</v>
      </c>
      <c r="AQ227" s="16">
        <f t="shared" si="9"/>
        <v>1</v>
      </c>
      <c r="AR227" s="16">
        <f t="shared" si="10"/>
        <v>1</v>
      </c>
      <c r="AS227" s="66">
        <f t="shared" si="11"/>
        <v>8532.93</v>
      </c>
      <c r="AT227" s="67">
        <f t="shared" si="12"/>
        <v>40347.67</v>
      </c>
      <c r="AU227" s="68">
        <f t="shared" si="80"/>
        <v>22.066666666666666</v>
      </c>
      <c r="AV227" s="19">
        <f t="shared" si="14"/>
        <v>5.8931346194774905E-3</v>
      </c>
      <c r="AW227" s="69">
        <f t="shared" si="15"/>
        <v>0</v>
      </c>
      <c r="AY227" s="65">
        <f t="shared" si="16"/>
        <v>0</v>
      </c>
      <c r="AZ227" s="16">
        <f t="shared" si="17"/>
        <v>1</v>
      </c>
      <c r="BA227" s="16">
        <f t="shared" si="18"/>
        <v>0</v>
      </c>
      <c r="BB227" s="70">
        <f t="shared" si="19"/>
        <v>0</v>
      </c>
      <c r="BC227" s="67">
        <f t="shared" si="20"/>
        <v>0</v>
      </c>
      <c r="BD227" s="71">
        <f t="shared" si="21"/>
        <v>0</v>
      </c>
      <c r="BE227" s="19">
        <f t="shared" si="22"/>
        <v>0</v>
      </c>
      <c r="BF227" s="69">
        <f t="shared" si="23"/>
        <v>0</v>
      </c>
      <c r="BH227" s="72">
        <f t="shared" si="24"/>
        <v>40347.67</v>
      </c>
      <c r="BI227" s="73">
        <f t="shared" si="25"/>
        <v>1</v>
      </c>
      <c r="BJ227" s="74">
        <f t="shared" si="26"/>
        <v>3.5869850217595776E-3</v>
      </c>
      <c r="BK227" s="75">
        <f t="shared" si="27"/>
        <v>0</v>
      </c>
      <c r="BM227" s="76">
        <f t="shared" si="28"/>
        <v>1</v>
      </c>
    </row>
    <row r="228" spans="1:65" ht="12.75" customHeight="1" x14ac:dyDescent="0.2">
      <c r="A228" s="47"/>
      <c r="B228" s="48" t="s">
        <v>465</v>
      </c>
      <c r="C228" s="49">
        <v>27720</v>
      </c>
      <c r="D228" s="50">
        <v>13</v>
      </c>
      <c r="E228" s="49">
        <v>20894.23</v>
      </c>
      <c r="F228" s="50" t="s">
        <v>55</v>
      </c>
      <c r="G228" s="51">
        <v>44195</v>
      </c>
      <c r="H228" s="52" t="s">
        <v>56</v>
      </c>
      <c r="I228" s="51">
        <v>44910</v>
      </c>
      <c r="J228" s="52">
        <f t="shared" si="84"/>
        <v>23.833333333333332</v>
      </c>
      <c r="K228" s="53" t="s">
        <v>466</v>
      </c>
      <c r="L228" s="53">
        <v>38675</v>
      </c>
      <c r="M228" s="54">
        <v>310.23</v>
      </c>
      <c r="N228" s="54">
        <v>4725.8500000000004</v>
      </c>
      <c r="O228" s="54">
        <v>3104.96</v>
      </c>
      <c r="P228" s="54">
        <f t="shared" si="69"/>
        <v>0</v>
      </c>
      <c r="Q228" s="54">
        <f t="shared" si="70"/>
        <v>0</v>
      </c>
      <c r="R228" s="55">
        <f t="shared" si="71"/>
        <v>0</v>
      </c>
      <c r="S228" s="55">
        <f t="shared" si="72"/>
        <v>1</v>
      </c>
      <c r="T228" s="56"/>
      <c r="V228" s="57">
        <v>216</v>
      </c>
      <c r="W228" s="58"/>
      <c r="X228" s="58">
        <v>15.12</v>
      </c>
      <c r="Y228" s="58"/>
      <c r="Z228" s="58">
        <f>100.44+86.4+108.27</f>
        <v>295.11</v>
      </c>
      <c r="AA228" s="58">
        <v>0</v>
      </c>
      <c r="AB228" s="58">
        <f t="shared" si="37"/>
        <v>526.23</v>
      </c>
      <c r="AC228" s="58"/>
      <c r="AD228" s="59">
        <v>0</v>
      </c>
      <c r="AE228" s="60">
        <f t="shared" si="87"/>
        <v>0</v>
      </c>
      <c r="AF228" s="61"/>
      <c r="AG228" s="59"/>
      <c r="AH228" s="60">
        <f t="shared" si="88"/>
        <v>0</v>
      </c>
      <c r="AI228" s="62"/>
      <c r="AJ228" s="62">
        <f t="shared" si="6"/>
        <v>0</v>
      </c>
      <c r="AK228" s="63">
        <f t="shared" si="40"/>
        <v>0</v>
      </c>
      <c r="AL228" s="64">
        <f t="shared" si="41"/>
        <v>310.23</v>
      </c>
      <c r="AP228" s="65">
        <f t="shared" si="8"/>
        <v>1</v>
      </c>
      <c r="AQ228" s="16">
        <f t="shared" si="9"/>
        <v>1</v>
      </c>
      <c r="AR228" s="16">
        <f t="shared" si="10"/>
        <v>1</v>
      </c>
      <c r="AS228" s="66">
        <f t="shared" si="11"/>
        <v>7830.81</v>
      </c>
      <c r="AT228" s="67">
        <f t="shared" si="12"/>
        <v>20894.23</v>
      </c>
      <c r="AU228" s="68">
        <f t="shared" si="80"/>
        <v>23.833333333333332</v>
      </c>
      <c r="AV228" s="19">
        <f t="shared" si="14"/>
        <v>3.0517873810389836E-3</v>
      </c>
      <c r="AW228" s="69">
        <f t="shared" si="15"/>
        <v>0</v>
      </c>
      <c r="AY228" s="65">
        <f t="shared" si="16"/>
        <v>0</v>
      </c>
      <c r="AZ228" s="16">
        <f t="shared" si="17"/>
        <v>1</v>
      </c>
      <c r="BA228" s="16">
        <f t="shared" si="18"/>
        <v>0</v>
      </c>
      <c r="BB228" s="70">
        <f t="shared" si="19"/>
        <v>0</v>
      </c>
      <c r="BC228" s="67">
        <f t="shared" si="20"/>
        <v>0</v>
      </c>
      <c r="BD228" s="71">
        <f t="shared" si="21"/>
        <v>0</v>
      </c>
      <c r="BE228" s="19">
        <f t="shared" si="22"/>
        <v>0</v>
      </c>
      <c r="BF228" s="69">
        <f t="shared" si="23"/>
        <v>0</v>
      </c>
      <c r="BH228" s="72">
        <f t="shared" si="24"/>
        <v>20894.23</v>
      </c>
      <c r="BI228" s="73">
        <f t="shared" si="25"/>
        <v>1</v>
      </c>
      <c r="BJ228" s="74">
        <f t="shared" si="26"/>
        <v>1.8575370040252541E-3</v>
      </c>
      <c r="BK228" s="75">
        <f t="shared" si="27"/>
        <v>0</v>
      </c>
      <c r="BM228" s="76">
        <f t="shared" si="28"/>
        <v>1</v>
      </c>
    </row>
    <row r="229" spans="1:65" ht="12.75" customHeight="1" x14ac:dyDescent="0.2">
      <c r="A229" s="47"/>
      <c r="B229" s="48" t="s">
        <v>467</v>
      </c>
      <c r="C229" s="49">
        <v>31130</v>
      </c>
      <c r="D229" s="50">
        <v>13</v>
      </c>
      <c r="E229" s="49">
        <v>30582.26</v>
      </c>
      <c r="F229" s="50" t="s">
        <v>55</v>
      </c>
      <c r="G229" s="51">
        <v>44202</v>
      </c>
      <c r="H229" s="52" t="s">
        <v>56</v>
      </c>
      <c r="I229" s="51">
        <v>44552</v>
      </c>
      <c r="J229" s="52">
        <f t="shared" si="84"/>
        <v>11.666666666666666</v>
      </c>
      <c r="K229" s="53" t="s">
        <v>468</v>
      </c>
      <c r="L229" s="53">
        <v>45000</v>
      </c>
      <c r="M229" s="54">
        <v>1984.01</v>
      </c>
      <c r="N229" s="54">
        <v>7428.05</v>
      </c>
      <c r="O229" s="54">
        <v>2638.94</v>
      </c>
      <c r="P229" s="54">
        <f t="shared" si="69"/>
        <v>0</v>
      </c>
      <c r="Q229" s="54">
        <f t="shared" si="70"/>
        <v>0</v>
      </c>
      <c r="R229" s="55">
        <f t="shared" si="71"/>
        <v>0</v>
      </c>
      <c r="S229" s="55">
        <f t="shared" si="72"/>
        <v>1</v>
      </c>
      <c r="T229" s="56"/>
      <c r="V229" s="57">
        <v>379.25</v>
      </c>
      <c r="W229" s="58"/>
      <c r="X229" s="58">
        <v>26.55</v>
      </c>
      <c r="Y229" s="58"/>
      <c r="Z229" s="58">
        <f>913.89+153.75</f>
        <v>1067.6399999999999</v>
      </c>
      <c r="AA229" s="58">
        <v>6174.35</v>
      </c>
      <c r="AB229" s="58">
        <f t="shared" si="37"/>
        <v>7647.79</v>
      </c>
      <c r="AC229" s="58"/>
      <c r="AD229" s="59">
        <v>5.8999999999999997E-2</v>
      </c>
      <c r="AE229" s="60">
        <f t="shared" si="87"/>
        <v>889.81808547945195</v>
      </c>
      <c r="AF229" s="61"/>
      <c r="AG229" s="59"/>
      <c r="AH229" s="60">
        <f t="shared" si="88"/>
        <v>0</v>
      </c>
      <c r="AI229" s="62"/>
      <c r="AJ229" s="62">
        <f t="shared" si="6"/>
        <v>889.81808547945195</v>
      </c>
      <c r="AK229" s="63">
        <f t="shared" si="40"/>
        <v>889.81808547945195</v>
      </c>
      <c r="AL229" s="64">
        <f t="shared" si="41"/>
        <v>1984.0080854794519</v>
      </c>
      <c r="AP229" s="65">
        <f t="shared" si="8"/>
        <v>1</v>
      </c>
      <c r="AQ229" s="16">
        <f t="shared" si="9"/>
        <v>1</v>
      </c>
      <c r="AR229" s="16">
        <f t="shared" si="10"/>
        <v>1</v>
      </c>
      <c r="AS229" s="66">
        <f t="shared" si="11"/>
        <v>10066.99</v>
      </c>
      <c r="AT229" s="67">
        <f t="shared" si="12"/>
        <v>30582.26</v>
      </c>
      <c r="AU229" s="68">
        <f t="shared" si="80"/>
        <v>11.666666666666666</v>
      </c>
      <c r="AV229" s="19">
        <f t="shared" si="14"/>
        <v>4.4668099830265711E-3</v>
      </c>
      <c r="AW229" s="69">
        <f t="shared" si="15"/>
        <v>0</v>
      </c>
      <c r="AY229" s="65">
        <f t="shared" si="16"/>
        <v>0</v>
      </c>
      <c r="AZ229" s="16">
        <f t="shared" si="17"/>
        <v>1</v>
      </c>
      <c r="BA229" s="16">
        <f t="shared" si="18"/>
        <v>0</v>
      </c>
      <c r="BB229" s="70">
        <f t="shared" si="19"/>
        <v>0</v>
      </c>
      <c r="BC229" s="67">
        <f t="shared" si="20"/>
        <v>0</v>
      </c>
      <c r="BD229" s="71">
        <f t="shared" si="21"/>
        <v>0</v>
      </c>
      <c r="BE229" s="19">
        <f t="shared" si="22"/>
        <v>0</v>
      </c>
      <c r="BF229" s="69">
        <f t="shared" si="23"/>
        <v>0</v>
      </c>
      <c r="BH229" s="72">
        <f t="shared" si="24"/>
        <v>30582.26</v>
      </c>
      <c r="BI229" s="73">
        <f t="shared" si="25"/>
        <v>1</v>
      </c>
      <c r="BJ229" s="74">
        <f t="shared" si="26"/>
        <v>2.7188213979036971E-3</v>
      </c>
      <c r="BK229" s="75">
        <f t="shared" si="27"/>
        <v>0</v>
      </c>
      <c r="BM229" s="76">
        <f t="shared" si="28"/>
        <v>1</v>
      </c>
    </row>
    <row r="230" spans="1:65" ht="12.75" customHeight="1" x14ac:dyDescent="0.2">
      <c r="A230" s="47"/>
      <c r="B230" s="48" t="s">
        <v>469</v>
      </c>
      <c r="C230" s="49">
        <v>38510</v>
      </c>
      <c r="D230" s="50">
        <v>13</v>
      </c>
      <c r="E230" s="49">
        <v>37419.42</v>
      </c>
      <c r="F230" s="50" t="s">
        <v>55</v>
      </c>
      <c r="G230" s="51">
        <v>44327</v>
      </c>
      <c r="H230" s="52" t="s">
        <v>56</v>
      </c>
      <c r="I230" s="51">
        <v>44463</v>
      </c>
      <c r="J230" s="52">
        <f t="shared" si="84"/>
        <v>4.5333333333333332</v>
      </c>
      <c r="K230" s="53" t="s">
        <v>470</v>
      </c>
      <c r="L230" s="53">
        <v>50000</v>
      </c>
      <c r="M230" s="54">
        <v>921</v>
      </c>
      <c r="N230" s="54">
        <v>9132.85</v>
      </c>
      <c r="O230" s="54">
        <v>0</v>
      </c>
      <c r="P230" s="54">
        <f t="shared" si="69"/>
        <v>0</v>
      </c>
      <c r="Q230" s="54">
        <f t="shared" si="70"/>
        <v>0</v>
      </c>
      <c r="R230" s="55">
        <f t="shared" si="71"/>
        <v>0</v>
      </c>
      <c r="S230" s="55">
        <f t="shared" si="72"/>
        <v>1</v>
      </c>
      <c r="T230" s="56"/>
      <c r="V230" s="57">
        <v>321.08999999999997</v>
      </c>
      <c r="W230" s="58"/>
      <c r="X230" s="58">
        <v>22.48</v>
      </c>
      <c r="Y230" s="58"/>
      <c r="Z230" s="58">
        <f>198+253.77+169.95</f>
        <v>621.72</v>
      </c>
      <c r="AA230" s="58">
        <v>1788.23</v>
      </c>
      <c r="AB230" s="58">
        <f t="shared" si="37"/>
        <v>2753.52</v>
      </c>
      <c r="AC230" s="58"/>
      <c r="AD230" s="59">
        <v>1.4999999999999999E-2</v>
      </c>
      <c r="AE230" s="60">
        <f t="shared" si="87"/>
        <v>276.80118904109588</v>
      </c>
      <c r="AF230" s="61"/>
      <c r="AG230" s="59"/>
      <c r="AH230" s="60">
        <f t="shared" si="88"/>
        <v>0</v>
      </c>
      <c r="AI230" s="62"/>
      <c r="AJ230" s="62">
        <f t="shared" si="6"/>
        <v>276.80118904109588</v>
      </c>
      <c r="AK230" s="63">
        <f t="shared" si="40"/>
        <v>276.80118904109588</v>
      </c>
      <c r="AL230" s="64">
        <f t="shared" si="41"/>
        <v>921.00118904109593</v>
      </c>
      <c r="AP230" s="65">
        <f t="shared" si="8"/>
        <v>1</v>
      </c>
      <c r="AQ230" s="16">
        <f t="shared" si="9"/>
        <v>1</v>
      </c>
      <c r="AR230" s="16">
        <f t="shared" si="10"/>
        <v>1</v>
      </c>
      <c r="AS230" s="66">
        <f t="shared" si="11"/>
        <v>9132.85</v>
      </c>
      <c r="AT230" s="67">
        <f t="shared" si="12"/>
        <v>37419.42</v>
      </c>
      <c r="AU230" s="68">
        <f t="shared" si="80"/>
        <v>4.5333333333333332</v>
      </c>
      <c r="AV230" s="19">
        <f t="shared" si="14"/>
        <v>5.4654377673548039E-3</v>
      </c>
      <c r="AW230" s="69">
        <f t="shared" si="15"/>
        <v>0</v>
      </c>
      <c r="AY230" s="65">
        <f t="shared" si="16"/>
        <v>0</v>
      </c>
      <c r="AZ230" s="16">
        <f t="shared" si="17"/>
        <v>1</v>
      </c>
      <c r="BA230" s="16">
        <f t="shared" si="18"/>
        <v>0</v>
      </c>
      <c r="BB230" s="70">
        <f t="shared" si="19"/>
        <v>0</v>
      </c>
      <c r="BC230" s="67">
        <f t="shared" si="20"/>
        <v>0</v>
      </c>
      <c r="BD230" s="71">
        <f t="shared" si="21"/>
        <v>0</v>
      </c>
      <c r="BE230" s="19">
        <f t="shared" si="22"/>
        <v>0</v>
      </c>
      <c r="BF230" s="69">
        <f t="shared" si="23"/>
        <v>0</v>
      </c>
      <c r="BH230" s="72">
        <f t="shared" si="24"/>
        <v>37419.42</v>
      </c>
      <c r="BI230" s="73">
        <f t="shared" si="25"/>
        <v>1</v>
      </c>
      <c r="BJ230" s="74">
        <f t="shared" si="26"/>
        <v>3.3266579969284662E-3</v>
      </c>
      <c r="BK230" s="75">
        <f t="shared" si="27"/>
        <v>0</v>
      </c>
      <c r="BM230" s="76">
        <f t="shared" si="28"/>
        <v>1</v>
      </c>
    </row>
    <row r="231" spans="1:65" ht="12.75" customHeight="1" x14ac:dyDescent="0.2">
      <c r="A231" s="47"/>
      <c r="B231" s="48" t="s">
        <v>471</v>
      </c>
      <c r="C231" s="49">
        <v>40399</v>
      </c>
      <c r="D231" s="50">
        <v>13</v>
      </c>
      <c r="E231" s="49">
        <v>39965.31</v>
      </c>
      <c r="F231" s="50" t="s">
        <v>63</v>
      </c>
      <c r="G231" s="51">
        <v>44398</v>
      </c>
      <c r="H231" s="52" t="s">
        <v>56</v>
      </c>
      <c r="I231" s="51">
        <v>44631</v>
      </c>
      <c r="J231" s="52">
        <f t="shared" si="84"/>
        <v>7.7666666666666666</v>
      </c>
      <c r="K231" s="53" t="s">
        <v>472</v>
      </c>
      <c r="L231" s="53">
        <v>55000</v>
      </c>
      <c r="M231" s="54">
        <v>522.82000000000005</v>
      </c>
      <c r="N231" s="54">
        <v>12704.27</v>
      </c>
      <c r="O231" s="54">
        <v>2218.89</v>
      </c>
      <c r="P231" s="54">
        <f t="shared" si="69"/>
        <v>0</v>
      </c>
      <c r="Q231" s="54">
        <f t="shared" si="70"/>
        <v>411.28999999999769</v>
      </c>
      <c r="R231" s="55">
        <f t="shared" si="71"/>
        <v>1.029117502153737E-2</v>
      </c>
      <c r="S231" s="55">
        <f t="shared" si="72"/>
        <v>0.98970882497846258</v>
      </c>
      <c r="T231" s="56"/>
      <c r="V231" s="57">
        <v>506</v>
      </c>
      <c r="W231" s="58"/>
      <c r="X231" s="58">
        <v>35.42</v>
      </c>
      <c r="Y231" s="58"/>
      <c r="Z231" s="58">
        <v>241.04</v>
      </c>
      <c r="AA231" s="58">
        <v>1947.62</v>
      </c>
      <c r="AB231" s="58">
        <f t="shared" si="37"/>
        <v>2730.08</v>
      </c>
      <c r="AC231" s="58"/>
      <c r="AD231" s="59">
        <v>1.2500000000000001E-2</v>
      </c>
      <c r="AE231" s="60">
        <f t="shared" si="87"/>
        <v>246.36150000000001</v>
      </c>
      <c r="AF231" s="61"/>
      <c r="AG231" s="59"/>
      <c r="AH231" s="60">
        <f t="shared" si="88"/>
        <v>0</v>
      </c>
      <c r="AI231" s="62"/>
      <c r="AJ231" s="62">
        <f t="shared" si="6"/>
        <v>246.36150000000001</v>
      </c>
      <c r="AK231" s="63">
        <f t="shared" si="40"/>
        <v>246.36150000000001</v>
      </c>
      <c r="AL231" s="64">
        <f t="shared" si="41"/>
        <v>522.82150000000001</v>
      </c>
      <c r="AP231" s="65">
        <f t="shared" si="8"/>
        <v>0</v>
      </c>
      <c r="AQ231" s="16">
        <f t="shared" si="9"/>
        <v>1</v>
      </c>
      <c r="AR231" s="16">
        <f t="shared" si="10"/>
        <v>0</v>
      </c>
      <c r="AS231" s="66">
        <f t="shared" si="11"/>
        <v>0</v>
      </c>
      <c r="AT231" s="67">
        <f t="shared" si="12"/>
        <v>0</v>
      </c>
      <c r="AU231" s="68">
        <f t="shared" si="80"/>
        <v>0</v>
      </c>
      <c r="AV231" s="19">
        <f t="shared" si="14"/>
        <v>0</v>
      </c>
      <c r="AW231" s="69">
        <f t="shared" si="15"/>
        <v>0</v>
      </c>
      <c r="AY231" s="65">
        <f t="shared" si="16"/>
        <v>1</v>
      </c>
      <c r="AZ231" s="16">
        <f t="shared" si="17"/>
        <v>1</v>
      </c>
      <c r="BA231" s="16">
        <f t="shared" si="18"/>
        <v>1</v>
      </c>
      <c r="BB231" s="70">
        <f t="shared" si="19"/>
        <v>14923.16</v>
      </c>
      <c r="BC231" s="67">
        <f t="shared" si="20"/>
        <v>39965.31</v>
      </c>
      <c r="BD231" s="71">
        <f t="shared" si="21"/>
        <v>7.7666666666666666</v>
      </c>
      <c r="BE231" s="19">
        <f t="shared" si="22"/>
        <v>9.0793169038024309E-3</v>
      </c>
      <c r="BF231" s="69">
        <f t="shared" si="23"/>
        <v>9.3436839333033595E-5</v>
      </c>
      <c r="BH231" s="72">
        <f t="shared" si="24"/>
        <v>39965.31</v>
      </c>
      <c r="BI231" s="73">
        <f t="shared" si="25"/>
        <v>1</v>
      </c>
      <c r="BJ231" s="74">
        <f t="shared" si="26"/>
        <v>3.5529924865544469E-3</v>
      </c>
      <c r="BK231" s="75">
        <f t="shared" si="27"/>
        <v>3.6564467529339073E-5</v>
      </c>
      <c r="BM231" s="76">
        <f t="shared" si="28"/>
        <v>1</v>
      </c>
    </row>
    <row r="232" spans="1:65" ht="12.75" customHeight="1" x14ac:dyDescent="0.2">
      <c r="A232" s="47"/>
      <c r="B232" s="48" t="s">
        <v>473</v>
      </c>
      <c r="C232" s="49">
        <v>23424.82</v>
      </c>
      <c r="D232" s="50">
        <v>13</v>
      </c>
      <c r="E232" s="49">
        <v>22363.11</v>
      </c>
      <c r="F232" s="50" t="s">
        <v>55</v>
      </c>
      <c r="G232" s="51">
        <v>44407</v>
      </c>
      <c r="H232" s="52" t="s">
        <v>56</v>
      </c>
      <c r="I232" s="51">
        <v>44460</v>
      </c>
      <c r="J232" s="52">
        <f t="shared" si="84"/>
        <v>1.7666666666666666</v>
      </c>
      <c r="K232" s="53" t="s">
        <v>474</v>
      </c>
      <c r="L232" s="53">
        <v>49500</v>
      </c>
      <c r="M232" s="54">
        <v>1992.62</v>
      </c>
      <c r="N232" s="54">
        <v>4392.91</v>
      </c>
      <c r="O232" s="54">
        <v>0</v>
      </c>
      <c r="P232" s="54">
        <f t="shared" si="69"/>
        <v>0</v>
      </c>
      <c r="Q232" s="54">
        <f t="shared" si="70"/>
        <v>0</v>
      </c>
      <c r="R232" s="55">
        <f t="shared" si="71"/>
        <v>0</v>
      </c>
      <c r="S232" s="55">
        <f t="shared" si="72"/>
        <v>1</v>
      </c>
      <c r="T232" s="56"/>
      <c r="V232" s="57">
        <v>472</v>
      </c>
      <c r="W232" s="58"/>
      <c r="X232" s="58">
        <v>33.04</v>
      </c>
      <c r="Y232" s="58">
        <v>236.06</v>
      </c>
      <c r="Z232" s="58">
        <f>660.8+333.35</f>
        <v>994.15</v>
      </c>
      <c r="AA232" s="58">
        <f>1790.41+5471.95</f>
        <v>7262.36</v>
      </c>
      <c r="AB232" s="58">
        <f t="shared" si="37"/>
        <v>8997.61</v>
      </c>
      <c r="AC232" s="58">
        <v>17281.82</v>
      </c>
      <c r="AD232" s="59">
        <v>6.5000000000000002E-2</v>
      </c>
      <c r="AE232" s="60">
        <f t="shared" ref="AE232:AE234" si="89">((AC232*AD232)/365)*180</f>
        <v>553.96518904109587</v>
      </c>
      <c r="AF232" s="61">
        <v>5081.29</v>
      </c>
      <c r="AG232" s="59">
        <v>7.0000000000000007E-2</v>
      </c>
      <c r="AH232" s="60">
        <f t="shared" ref="AH232:AH235" si="90">((AF232*AG232)/365)*180</f>
        <v>175.40891506849317</v>
      </c>
      <c r="AI232" s="62">
        <f t="shared" ref="AI232:AI235" si="91">AC232+AF232</f>
        <v>22363.11</v>
      </c>
      <c r="AJ232" s="62">
        <f t="shared" si="6"/>
        <v>729.3741041095891</v>
      </c>
      <c r="AK232" s="63">
        <f t="shared" si="40"/>
        <v>729.3741041095891</v>
      </c>
      <c r="AL232" s="64">
        <f t="shared" si="41"/>
        <v>1992.6241041095891</v>
      </c>
      <c r="AP232" s="65">
        <f t="shared" si="8"/>
        <v>1</v>
      </c>
      <c r="AQ232" s="16">
        <f t="shared" si="9"/>
        <v>1</v>
      </c>
      <c r="AR232" s="16">
        <f t="shared" si="10"/>
        <v>1</v>
      </c>
      <c r="AS232" s="66">
        <f t="shared" si="11"/>
        <v>4392.91</v>
      </c>
      <c r="AT232" s="67">
        <f t="shared" si="12"/>
        <v>22363.11</v>
      </c>
      <c r="AU232" s="68">
        <f t="shared" si="80"/>
        <v>1.7666666666666666</v>
      </c>
      <c r="AV232" s="19">
        <f t="shared" si="14"/>
        <v>3.2663303169720402E-3</v>
      </c>
      <c r="AW232" s="69">
        <f t="shared" si="15"/>
        <v>0</v>
      </c>
      <c r="AY232" s="65">
        <f t="shared" si="16"/>
        <v>0</v>
      </c>
      <c r="AZ232" s="16">
        <f t="shared" si="17"/>
        <v>1</v>
      </c>
      <c r="BA232" s="16">
        <f t="shared" si="18"/>
        <v>0</v>
      </c>
      <c r="BB232" s="70">
        <f t="shared" si="19"/>
        <v>0</v>
      </c>
      <c r="BC232" s="67">
        <f t="shared" si="20"/>
        <v>0</v>
      </c>
      <c r="BD232" s="71">
        <f t="shared" si="21"/>
        <v>0</v>
      </c>
      <c r="BE232" s="19">
        <f t="shared" si="22"/>
        <v>0</v>
      </c>
      <c r="BF232" s="69">
        <f t="shared" si="23"/>
        <v>0</v>
      </c>
      <c r="BH232" s="72">
        <f t="shared" si="24"/>
        <v>22363.11</v>
      </c>
      <c r="BI232" s="73">
        <f t="shared" si="25"/>
        <v>1</v>
      </c>
      <c r="BJ232" s="74">
        <f t="shared" si="26"/>
        <v>1.9881232450340213E-3</v>
      </c>
      <c r="BK232" s="75">
        <f t="shared" si="27"/>
        <v>0</v>
      </c>
      <c r="BM232" s="76">
        <f t="shared" si="28"/>
        <v>1</v>
      </c>
    </row>
    <row r="233" spans="1:65" ht="12.75" customHeight="1" x14ac:dyDescent="0.2">
      <c r="A233" s="47"/>
      <c r="B233" s="48" t="s">
        <v>475</v>
      </c>
      <c r="C233" s="49">
        <v>35400</v>
      </c>
      <c r="D233" s="50">
        <v>13</v>
      </c>
      <c r="E233" s="49">
        <v>33482.5</v>
      </c>
      <c r="F233" s="50" t="s">
        <v>55</v>
      </c>
      <c r="G233" s="51">
        <v>44433</v>
      </c>
      <c r="H233" s="52" t="s">
        <v>56</v>
      </c>
      <c r="I233" s="51">
        <v>44777</v>
      </c>
      <c r="J233" s="52">
        <f t="shared" si="84"/>
        <v>11.466666666666667</v>
      </c>
      <c r="K233" s="53" t="s">
        <v>476</v>
      </c>
      <c r="L233" s="53">
        <v>36000</v>
      </c>
      <c r="M233" s="54">
        <v>486.42</v>
      </c>
      <c r="N233" s="54">
        <v>5948.28</v>
      </c>
      <c r="O233" s="54">
        <v>6324.64</v>
      </c>
      <c r="P233" s="54">
        <f t="shared" si="69"/>
        <v>0</v>
      </c>
      <c r="Q233" s="54">
        <f t="shared" si="70"/>
        <v>10241.84</v>
      </c>
      <c r="R233" s="55">
        <f t="shared" si="71"/>
        <v>0.30588635854550883</v>
      </c>
      <c r="S233" s="55">
        <f t="shared" si="72"/>
        <v>0.69411364145449117</v>
      </c>
      <c r="T233" s="56"/>
      <c r="V233" s="57">
        <v>305.25</v>
      </c>
      <c r="W233" s="58"/>
      <c r="X233" s="58">
        <v>21.37</v>
      </c>
      <c r="Y233" s="58"/>
      <c r="Z233" s="58">
        <f>138.35+159.39+167.31</f>
        <v>465.05</v>
      </c>
      <c r="AA233" s="58"/>
      <c r="AB233" s="58">
        <f t="shared" si="37"/>
        <v>791.67000000000007</v>
      </c>
      <c r="AC233" s="58"/>
      <c r="AD233" s="59">
        <v>0</v>
      </c>
      <c r="AE233" s="60">
        <f t="shared" si="89"/>
        <v>0</v>
      </c>
      <c r="AF233" s="61"/>
      <c r="AG233" s="59"/>
      <c r="AH233" s="60">
        <f t="shared" si="90"/>
        <v>0</v>
      </c>
      <c r="AI233" s="62">
        <f t="shared" si="91"/>
        <v>0</v>
      </c>
      <c r="AJ233" s="62">
        <f t="shared" si="6"/>
        <v>0</v>
      </c>
      <c r="AK233" s="63">
        <f t="shared" si="40"/>
        <v>0</v>
      </c>
      <c r="AL233" s="64">
        <f t="shared" si="41"/>
        <v>486.42</v>
      </c>
      <c r="AP233" s="65">
        <f t="shared" si="8"/>
        <v>1</v>
      </c>
      <c r="AQ233" s="16">
        <f t="shared" si="9"/>
        <v>1</v>
      </c>
      <c r="AR233" s="16">
        <f t="shared" si="10"/>
        <v>1</v>
      </c>
      <c r="AS233" s="66">
        <f t="shared" si="11"/>
        <v>12272.92</v>
      </c>
      <c r="AT233" s="67">
        <f t="shared" si="12"/>
        <v>33482.5</v>
      </c>
      <c r="AU233" s="68">
        <f t="shared" si="80"/>
        <v>11.466666666666667</v>
      </c>
      <c r="AV233" s="19">
        <f t="shared" si="14"/>
        <v>4.8904157265253507E-3</v>
      </c>
      <c r="AW233" s="69">
        <f t="shared" si="15"/>
        <v>1.4959114583605285E-3</v>
      </c>
      <c r="AY233" s="65">
        <f t="shared" si="16"/>
        <v>0</v>
      </c>
      <c r="AZ233" s="16">
        <f t="shared" si="17"/>
        <v>1</v>
      </c>
      <c r="BA233" s="16">
        <f t="shared" si="18"/>
        <v>0</v>
      </c>
      <c r="BB233" s="70">
        <f t="shared" si="19"/>
        <v>0</v>
      </c>
      <c r="BC233" s="67">
        <f t="shared" si="20"/>
        <v>0</v>
      </c>
      <c r="BD233" s="71">
        <f t="shared" si="21"/>
        <v>0</v>
      </c>
      <c r="BE233" s="19">
        <f t="shared" si="22"/>
        <v>0</v>
      </c>
      <c r="BF233" s="69">
        <f t="shared" si="23"/>
        <v>0</v>
      </c>
      <c r="BH233" s="72">
        <f t="shared" si="24"/>
        <v>33482.5</v>
      </c>
      <c r="BI233" s="73">
        <f t="shared" si="25"/>
        <v>1</v>
      </c>
      <c r="BJ233" s="74">
        <f t="shared" si="26"/>
        <v>2.9766582801699594E-3</v>
      </c>
      <c r="BK233" s="75">
        <f t="shared" si="27"/>
        <v>9.1051916195552586E-4</v>
      </c>
      <c r="BM233" s="76">
        <f t="shared" si="28"/>
        <v>1</v>
      </c>
    </row>
    <row r="234" spans="1:65" ht="12.75" customHeight="1" x14ac:dyDescent="0.2">
      <c r="A234" s="47"/>
      <c r="B234" s="48" t="s">
        <v>477</v>
      </c>
      <c r="C234" s="49">
        <v>37751.589999999997</v>
      </c>
      <c r="D234" s="50">
        <v>13</v>
      </c>
      <c r="E234" s="49">
        <v>32997.29</v>
      </c>
      <c r="F234" s="50" t="s">
        <v>55</v>
      </c>
      <c r="G234" s="51">
        <v>44463</v>
      </c>
      <c r="H234" s="52" t="s">
        <v>56</v>
      </c>
      <c r="I234" s="51">
        <v>44680</v>
      </c>
      <c r="J234" s="52">
        <f t="shared" si="84"/>
        <v>7.2333333333333334</v>
      </c>
      <c r="K234" s="53" t="s">
        <v>478</v>
      </c>
      <c r="L234" s="53">
        <v>52000</v>
      </c>
      <c r="M234" s="54">
        <v>1990.18</v>
      </c>
      <c r="N234" s="54">
        <v>11272.18</v>
      </c>
      <c r="O234" s="54">
        <v>2518.35</v>
      </c>
      <c r="P234" s="54">
        <f t="shared" si="69"/>
        <v>0</v>
      </c>
      <c r="Q234" s="54">
        <f t="shared" si="70"/>
        <v>0</v>
      </c>
      <c r="R234" s="55">
        <f t="shared" si="71"/>
        <v>0</v>
      </c>
      <c r="S234" s="55">
        <f t="shared" si="72"/>
        <v>1</v>
      </c>
      <c r="T234" s="56"/>
      <c r="V234" s="57">
        <v>372</v>
      </c>
      <c r="W234" s="58"/>
      <c r="X234" s="58">
        <v>26.04</v>
      </c>
      <c r="Y234" s="58">
        <v>216.29</v>
      </c>
      <c r="Z234" s="58">
        <f>173.29+209.87+157.79+60.45+48.05</f>
        <v>649.44999999999993</v>
      </c>
      <c r="AA234" s="58">
        <f>4870.28+1494.24</f>
        <v>6364.5199999999995</v>
      </c>
      <c r="AB234" s="58">
        <f t="shared" si="37"/>
        <v>7628.2999999999993</v>
      </c>
      <c r="AC234" s="58">
        <v>24875.21</v>
      </c>
      <c r="AD234" s="59">
        <v>6.7500000000000004E-2</v>
      </c>
      <c r="AE234" s="60">
        <f t="shared" si="89"/>
        <v>828.03781232876702</v>
      </c>
      <c r="AF234" s="61">
        <v>8122.08</v>
      </c>
      <c r="AG234" s="59">
        <v>6.7500000000000004E-2</v>
      </c>
      <c r="AH234" s="60">
        <f t="shared" si="90"/>
        <v>270.36512876712334</v>
      </c>
      <c r="AI234" s="62">
        <f t="shared" si="91"/>
        <v>32997.29</v>
      </c>
      <c r="AJ234" s="62">
        <f t="shared" si="6"/>
        <v>1098.4029410958904</v>
      </c>
      <c r="AK234" s="63">
        <f t="shared" si="40"/>
        <v>1098.4029410958904</v>
      </c>
      <c r="AL234" s="64">
        <f t="shared" si="41"/>
        <v>1990.1829410958903</v>
      </c>
      <c r="AP234" s="65">
        <f t="shared" si="8"/>
        <v>1</v>
      </c>
      <c r="AQ234" s="16">
        <f t="shared" si="9"/>
        <v>1</v>
      </c>
      <c r="AR234" s="16">
        <f t="shared" si="10"/>
        <v>1</v>
      </c>
      <c r="AS234" s="66">
        <f t="shared" si="11"/>
        <v>13790.53</v>
      </c>
      <c r="AT234" s="67">
        <f t="shared" si="12"/>
        <v>32997.29</v>
      </c>
      <c r="AU234" s="68">
        <f t="shared" si="80"/>
        <v>7.2333333333333334</v>
      </c>
      <c r="AV234" s="19">
        <f t="shared" si="14"/>
        <v>4.8195465078389515E-3</v>
      </c>
      <c r="AW234" s="69">
        <f t="shared" si="15"/>
        <v>0</v>
      </c>
      <c r="AY234" s="65">
        <f t="shared" si="16"/>
        <v>0</v>
      </c>
      <c r="AZ234" s="16">
        <f t="shared" si="17"/>
        <v>1</v>
      </c>
      <c r="BA234" s="16">
        <f t="shared" si="18"/>
        <v>0</v>
      </c>
      <c r="BB234" s="70">
        <f t="shared" si="19"/>
        <v>0</v>
      </c>
      <c r="BC234" s="67">
        <f t="shared" si="20"/>
        <v>0</v>
      </c>
      <c r="BD234" s="71">
        <f t="shared" si="21"/>
        <v>0</v>
      </c>
      <c r="BE234" s="19">
        <f t="shared" si="22"/>
        <v>0</v>
      </c>
      <c r="BF234" s="69">
        <f t="shared" si="23"/>
        <v>0</v>
      </c>
      <c r="BH234" s="72">
        <f t="shared" si="24"/>
        <v>32997.29</v>
      </c>
      <c r="BI234" s="73">
        <f t="shared" si="25"/>
        <v>1</v>
      </c>
      <c r="BJ234" s="74">
        <f t="shared" si="26"/>
        <v>2.9335221832799043E-3</v>
      </c>
      <c r="BK234" s="75">
        <f t="shared" si="27"/>
        <v>0</v>
      </c>
      <c r="BM234" s="76">
        <f t="shared" si="28"/>
        <v>1</v>
      </c>
    </row>
    <row r="235" spans="1:65" ht="12.75" customHeight="1" x14ac:dyDescent="0.2">
      <c r="A235" s="47"/>
      <c r="B235" s="48" t="s">
        <v>479</v>
      </c>
      <c r="C235" s="49">
        <v>49495.05</v>
      </c>
      <c r="D235" s="50">
        <v>13</v>
      </c>
      <c r="E235" s="49">
        <v>48224.59</v>
      </c>
      <c r="F235" s="50" t="s">
        <v>55</v>
      </c>
      <c r="G235" s="51">
        <v>44463</v>
      </c>
      <c r="H235" s="52" t="s">
        <v>56</v>
      </c>
      <c r="I235" s="51">
        <v>44771</v>
      </c>
      <c r="J235" s="52">
        <f t="shared" si="84"/>
        <v>10.266666666666667</v>
      </c>
      <c r="K235" s="53" t="s">
        <v>480</v>
      </c>
      <c r="L235" s="53">
        <v>45000</v>
      </c>
      <c r="M235" s="54">
        <v>929.25</v>
      </c>
      <c r="N235" s="54">
        <v>12158.04</v>
      </c>
      <c r="O235" s="54">
        <v>1976.91</v>
      </c>
      <c r="P235" s="54">
        <f t="shared" si="69"/>
        <v>3224.5899999999965</v>
      </c>
      <c r="Q235" s="54">
        <f t="shared" si="70"/>
        <v>18288.789999999997</v>
      </c>
      <c r="R235" s="55">
        <f t="shared" si="71"/>
        <v>0.37924200081327802</v>
      </c>
      <c r="S235" s="55">
        <f t="shared" si="72"/>
        <v>0.62075799918672203</v>
      </c>
      <c r="T235" s="56"/>
      <c r="V235" s="57">
        <v>314.5</v>
      </c>
      <c r="W235" s="58"/>
      <c r="X235" s="58">
        <v>22.02</v>
      </c>
      <c r="Y235" s="58"/>
      <c r="Z235" s="58">
        <f>178.5+176.8+254.66</f>
        <v>609.96</v>
      </c>
      <c r="AA235" s="58">
        <v>1748.97</v>
      </c>
      <c r="AB235" s="58">
        <f t="shared" si="37"/>
        <v>2695.4500000000003</v>
      </c>
      <c r="AC235" s="58"/>
      <c r="AD235" s="59">
        <v>1.2500000000000001E-2</v>
      </c>
      <c r="AE235" s="60">
        <f t="shared" ref="AE235:AE243" si="92">((E235*AD235)/365)*180</f>
        <v>297.27486986301369</v>
      </c>
      <c r="AF235" s="61"/>
      <c r="AG235" s="59"/>
      <c r="AH235" s="60">
        <f t="shared" si="90"/>
        <v>0</v>
      </c>
      <c r="AI235" s="62">
        <f t="shared" si="91"/>
        <v>0</v>
      </c>
      <c r="AJ235" s="62">
        <f t="shared" si="6"/>
        <v>297.27486986301369</v>
      </c>
      <c r="AK235" s="63">
        <f t="shared" si="40"/>
        <v>297.27486986301369</v>
      </c>
      <c r="AL235" s="64">
        <f t="shared" si="41"/>
        <v>929.25486986301371</v>
      </c>
      <c r="AP235" s="65">
        <f t="shared" si="8"/>
        <v>1</v>
      </c>
      <c r="AQ235" s="16">
        <f t="shared" si="9"/>
        <v>1</v>
      </c>
      <c r="AR235" s="16">
        <f t="shared" si="10"/>
        <v>1</v>
      </c>
      <c r="AS235" s="66">
        <f t="shared" si="11"/>
        <v>14134.95</v>
      </c>
      <c r="AT235" s="67">
        <f t="shared" si="12"/>
        <v>48224.59</v>
      </c>
      <c r="AU235" s="68">
        <f t="shared" si="80"/>
        <v>10.266666666666667</v>
      </c>
      <c r="AV235" s="19">
        <f t="shared" si="14"/>
        <v>7.0436285624202837E-3</v>
      </c>
      <c r="AW235" s="69">
        <f t="shared" si="15"/>
        <v>2.6712397889978217E-3</v>
      </c>
      <c r="AY235" s="65">
        <f t="shared" si="16"/>
        <v>0</v>
      </c>
      <c r="AZ235" s="16">
        <f t="shared" si="17"/>
        <v>1</v>
      </c>
      <c r="BA235" s="16">
        <f t="shared" si="18"/>
        <v>0</v>
      </c>
      <c r="BB235" s="70">
        <f t="shared" si="19"/>
        <v>0</v>
      </c>
      <c r="BC235" s="67">
        <f t="shared" si="20"/>
        <v>0</v>
      </c>
      <c r="BD235" s="71">
        <f t="shared" si="21"/>
        <v>0</v>
      </c>
      <c r="BE235" s="19">
        <f t="shared" si="22"/>
        <v>0</v>
      </c>
      <c r="BF235" s="69">
        <f t="shared" si="23"/>
        <v>0</v>
      </c>
      <c r="BH235" s="72">
        <f t="shared" si="24"/>
        <v>48224.59</v>
      </c>
      <c r="BI235" s="73">
        <f t="shared" si="25"/>
        <v>1</v>
      </c>
      <c r="BJ235" s="74">
        <f t="shared" si="26"/>
        <v>4.2872582731666217E-3</v>
      </c>
      <c r="BK235" s="75">
        <f t="shared" si="27"/>
        <v>1.625908405518989E-3</v>
      </c>
      <c r="BM235" s="76">
        <f t="shared" si="28"/>
        <v>1</v>
      </c>
    </row>
    <row r="236" spans="1:65" ht="12.75" customHeight="1" x14ac:dyDescent="0.2">
      <c r="A236" s="47"/>
      <c r="B236" s="48" t="s">
        <v>481</v>
      </c>
      <c r="C236" s="49">
        <v>61875</v>
      </c>
      <c r="D236" s="50">
        <v>13</v>
      </c>
      <c r="E236" s="49">
        <v>50294.41</v>
      </c>
      <c r="F236" s="50" t="s">
        <v>55</v>
      </c>
      <c r="G236" s="51">
        <v>44469</v>
      </c>
      <c r="H236" s="52" t="s">
        <v>56</v>
      </c>
      <c r="I236" s="51">
        <v>45656</v>
      </c>
      <c r="J236" s="52">
        <f t="shared" si="84"/>
        <v>39.56666666666667</v>
      </c>
      <c r="K236" s="53" t="s">
        <v>482</v>
      </c>
      <c r="L236" s="53">
        <v>52000</v>
      </c>
      <c r="M236" s="54">
        <v>4266.8</v>
      </c>
      <c r="N236" s="54">
        <v>9493.0800000000017</v>
      </c>
      <c r="O236" s="54">
        <v>3538.91</v>
      </c>
      <c r="P236" s="54">
        <f t="shared" si="69"/>
        <v>0</v>
      </c>
      <c r="Q236" s="54">
        <f t="shared" si="70"/>
        <v>15593.200000000004</v>
      </c>
      <c r="R236" s="55">
        <f t="shared" si="71"/>
        <v>0.31003843170642631</v>
      </c>
      <c r="S236" s="55">
        <f t="shared" si="72"/>
        <v>0.68996156829357369</v>
      </c>
      <c r="T236" s="56"/>
      <c r="V236" s="57">
        <v>741.75</v>
      </c>
      <c r="W236" s="58">
        <v>293.35000000000002</v>
      </c>
      <c r="X236" s="58">
        <v>72.45</v>
      </c>
      <c r="Y236" s="58"/>
      <c r="Z236" s="58">
        <f>573.39+1777.44</f>
        <v>2350.83</v>
      </c>
      <c r="AA236" s="58">
        <v>16594.5</v>
      </c>
      <c r="AB236" s="58">
        <f t="shared" si="37"/>
        <v>20052.88</v>
      </c>
      <c r="AC236" s="58">
        <v>50294.41</v>
      </c>
      <c r="AD236" s="59">
        <v>6.25E-2</v>
      </c>
      <c r="AE236" s="60">
        <f t="shared" si="92"/>
        <v>1550.1701712328768</v>
      </c>
      <c r="AF236" s="61"/>
      <c r="AG236" s="59"/>
      <c r="AH236" s="60">
        <f t="shared" ref="AH236:AH243" si="93">((E236*AG236)/365)*180</f>
        <v>0</v>
      </c>
      <c r="AI236" s="62"/>
      <c r="AJ236" s="62">
        <f t="shared" si="6"/>
        <v>1550.1701712328768</v>
      </c>
      <c r="AK236" s="63">
        <f t="shared" si="40"/>
        <v>1550.1701712328768</v>
      </c>
      <c r="AL236" s="64">
        <f t="shared" si="41"/>
        <v>4266.8001712328769</v>
      </c>
      <c r="AP236" s="65">
        <f t="shared" si="8"/>
        <v>1</v>
      </c>
      <c r="AQ236" s="16">
        <f t="shared" si="9"/>
        <v>1</v>
      </c>
      <c r="AR236" s="16">
        <f t="shared" si="10"/>
        <v>1</v>
      </c>
      <c r="AS236" s="66">
        <f t="shared" si="11"/>
        <v>13031.990000000002</v>
      </c>
      <c r="AT236" s="67">
        <f t="shared" si="12"/>
        <v>50294.41</v>
      </c>
      <c r="AU236" s="68">
        <f t="shared" si="80"/>
        <v>39.56666666666667</v>
      </c>
      <c r="AV236" s="19">
        <f t="shared" si="14"/>
        <v>7.3459441087228815E-3</v>
      </c>
      <c r="AW236" s="69">
        <f t="shared" si="15"/>
        <v>2.2775249908715037E-3</v>
      </c>
      <c r="AY236" s="65">
        <f t="shared" si="16"/>
        <v>0</v>
      </c>
      <c r="AZ236" s="16">
        <f t="shared" si="17"/>
        <v>1</v>
      </c>
      <c r="BA236" s="16">
        <f t="shared" si="18"/>
        <v>0</v>
      </c>
      <c r="BB236" s="70">
        <f t="shared" si="19"/>
        <v>0</v>
      </c>
      <c r="BC236" s="67">
        <f t="shared" si="20"/>
        <v>0</v>
      </c>
      <c r="BD236" s="71">
        <f t="shared" si="21"/>
        <v>0</v>
      </c>
      <c r="BE236" s="19">
        <f t="shared" si="22"/>
        <v>0</v>
      </c>
      <c r="BF236" s="69">
        <f t="shared" si="23"/>
        <v>0</v>
      </c>
      <c r="BH236" s="72">
        <f t="shared" si="24"/>
        <v>50294.41</v>
      </c>
      <c r="BI236" s="73">
        <f t="shared" si="25"/>
        <v>1</v>
      </c>
      <c r="BJ236" s="74">
        <f t="shared" si="26"/>
        <v>4.4712692293814027E-3</v>
      </c>
      <c r="BK236" s="75">
        <f t="shared" si="27"/>
        <v>1.3862652996146114E-3</v>
      </c>
      <c r="BM236" s="76">
        <f t="shared" si="28"/>
        <v>1</v>
      </c>
    </row>
    <row r="237" spans="1:65" ht="12.75" customHeight="1" x14ac:dyDescent="0.2">
      <c r="A237" s="47"/>
      <c r="B237" s="48" t="s">
        <v>483</v>
      </c>
      <c r="C237" s="49">
        <v>39600</v>
      </c>
      <c r="D237" s="50">
        <v>13</v>
      </c>
      <c r="E237" s="49">
        <v>38337.550000000003</v>
      </c>
      <c r="F237" s="50" t="s">
        <v>63</v>
      </c>
      <c r="G237" s="51">
        <v>44469</v>
      </c>
      <c r="H237" s="52" t="s">
        <v>56</v>
      </c>
      <c r="I237" s="51">
        <v>44526</v>
      </c>
      <c r="J237" s="52">
        <f t="shared" si="84"/>
        <v>1.9</v>
      </c>
      <c r="K237" s="53" t="s">
        <v>484</v>
      </c>
      <c r="L237" s="53">
        <v>45000</v>
      </c>
      <c r="M237" s="54">
        <v>1137.46</v>
      </c>
      <c r="N237" s="54">
        <v>5069.87</v>
      </c>
      <c r="O237" s="54">
        <v>2125.83</v>
      </c>
      <c r="P237" s="54">
        <f t="shared" si="69"/>
        <v>0</v>
      </c>
      <c r="Q237" s="54">
        <f t="shared" si="70"/>
        <v>1670.7100000000028</v>
      </c>
      <c r="R237" s="55">
        <f t="shared" si="71"/>
        <v>4.3578945446435743E-2</v>
      </c>
      <c r="S237" s="55">
        <f t="shared" si="72"/>
        <v>0.9564210545535643</v>
      </c>
      <c r="T237" s="56"/>
      <c r="V237" s="57">
        <v>556.85</v>
      </c>
      <c r="W237" s="58"/>
      <c r="X237" s="58">
        <v>38.979999999999997</v>
      </c>
      <c r="Y237" s="58"/>
      <c r="Z237" s="58">
        <f>387.09+344.31+367.08</f>
        <v>1098.48</v>
      </c>
      <c r="AA237" s="58"/>
      <c r="AB237" s="58">
        <f t="shared" si="37"/>
        <v>1694.31</v>
      </c>
      <c r="AC237" s="58"/>
      <c r="AD237" s="59">
        <v>0</v>
      </c>
      <c r="AE237" s="60">
        <f t="shared" si="92"/>
        <v>0</v>
      </c>
      <c r="AF237" s="61"/>
      <c r="AG237" s="59"/>
      <c r="AH237" s="60">
        <f t="shared" si="93"/>
        <v>0</v>
      </c>
      <c r="AI237" s="62"/>
      <c r="AJ237" s="62">
        <f t="shared" si="6"/>
        <v>0</v>
      </c>
      <c r="AK237" s="63">
        <f t="shared" si="40"/>
        <v>0</v>
      </c>
      <c r="AL237" s="64">
        <f t="shared" si="41"/>
        <v>1137.46</v>
      </c>
      <c r="AP237" s="65">
        <f t="shared" si="8"/>
        <v>0</v>
      </c>
      <c r="AQ237" s="16">
        <f t="shared" si="9"/>
        <v>1</v>
      </c>
      <c r="AR237" s="16">
        <f t="shared" si="10"/>
        <v>0</v>
      </c>
      <c r="AS237" s="66">
        <f t="shared" si="11"/>
        <v>0</v>
      </c>
      <c r="AT237" s="67">
        <f t="shared" si="12"/>
        <v>0</v>
      </c>
      <c r="AU237" s="68">
        <f t="shared" si="80"/>
        <v>0</v>
      </c>
      <c r="AV237" s="19">
        <f t="shared" si="14"/>
        <v>0</v>
      </c>
      <c r="AW237" s="69">
        <f t="shared" si="15"/>
        <v>0</v>
      </c>
      <c r="AY237" s="65">
        <f t="shared" si="16"/>
        <v>1</v>
      </c>
      <c r="AZ237" s="16">
        <f t="shared" si="17"/>
        <v>1</v>
      </c>
      <c r="BA237" s="16">
        <f t="shared" si="18"/>
        <v>1</v>
      </c>
      <c r="BB237" s="70">
        <f t="shared" si="19"/>
        <v>7195.7</v>
      </c>
      <c r="BC237" s="67">
        <f t="shared" si="20"/>
        <v>38337.550000000003</v>
      </c>
      <c r="BD237" s="71">
        <f t="shared" si="21"/>
        <v>1.9</v>
      </c>
      <c r="BE237" s="19">
        <f t="shared" si="22"/>
        <v>8.7095224775028887E-3</v>
      </c>
      <c r="BF237" s="69">
        <f t="shared" si="23"/>
        <v>3.7955180491160427E-4</v>
      </c>
      <c r="BH237" s="72">
        <f t="shared" si="24"/>
        <v>38337.550000000003</v>
      </c>
      <c r="BI237" s="73">
        <f t="shared" si="25"/>
        <v>1</v>
      </c>
      <c r="BJ237" s="74">
        <f t="shared" si="26"/>
        <v>3.4082815097119341E-3</v>
      </c>
      <c r="BK237" s="75">
        <f t="shared" si="27"/>
        <v>1.4852931397783204E-4</v>
      </c>
      <c r="BM237" s="76">
        <f t="shared" si="28"/>
        <v>1</v>
      </c>
    </row>
    <row r="238" spans="1:65" ht="12.75" customHeight="1" x14ac:dyDescent="0.2">
      <c r="A238" s="47"/>
      <c r="B238" s="48" t="s">
        <v>485</v>
      </c>
      <c r="C238" s="49">
        <v>70292.97</v>
      </c>
      <c r="D238" s="50">
        <v>13</v>
      </c>
      <c r="E238" s="49">
        <v>67466.600000000006</v>
      </c>
      <c r="F238" s="50" t="s">
        <v>55</v>
      </c>
      <c r="G238" s="51">
        <v>44488</v>
      </c>
      <c r="H238" s="52" t="s">
        <v>56</v>
      </c>
      <c r="I238" s="51">
        <v>45106</v>
      </c>
      <c r="J238" s="52">
        <f t="shared" si="84"/>
        <v>20.6</v>
      </c>
      <c r="K238" s="53" t="s">
        <v>486</v>
      </c>
      <c r="L238" s="53">
        <v>85000</v>
      </c>
      <c r="M238" s="54">
        <v>2505.15</v>
      </c>
      <c r="N238" s="54">
        <v>16166.07</v>
      </c>
      <c r="O238" s="54">
        <v>5505.37</v>
      </c>
      <c r="P238" s="54">
        <f t="shared" si="69"/>
        <v>0</v>
      </c>
      <c r="Q238" s="54">
        <f t="shared" si="70"/>
        <v>6643.1900000000051</v>
      </c>
      <c r="R238" s="55">
        <f t="shared" si="71"/>
        <v>9.8466352239478569E-2</v>
      </c>
      <c r="S238" s="55">
        <f t="shared" si="72"/>
        <v>0.90153364776052147</v>
      </c>
      <c r="T238" s="56"/>
      <c r="V238" s="57">
        <v>560</v>
      </c>
      <c r="W238" s="58"/>
      <c r="X238" s="58">
        <v>39.200000000000003</v>
      </c>
      <c r="Y238" s="58"/>
      <c r="Z238" s="58">
        <f>660.8+1222.9</f>
        <v>1883.7</v>
      </c>
      <c r="AA238" s="58">
        <v>6880.21</v>
      </c>
      <c r="AB238" s="58">
        <f t="shared" si="37"/>
        <v>9363.11</v>
      </c>
      <c r="AC238" s="58"/>
      <c r="AD238" s="59">
        <v>1.7500000000000002E-2</v>
      </c>
      <c r="AE238" s="60">
        <f t="shared" si="92"/>
        <v>582.24600000000021</v>
      </c>
      <c r="AF238" s="61"/>
      <c r="AG238" s="59"/>
      <c r="AH238" s="60">
        <f t="shared" si="93"/>
        <v>0</v>
      </c>
      <c r="AI238" s="62"/>
      <c r="AJ238" s="62">
        <f t="shared" si="6"/>
        <v>582.24600000000021</v>
      </c>
      <c r="AK238" s="63">
        <f t="shared" si="40"/>
        <v>582.24600000000021</v>
      </c>
      <c r="AL238" s="64">
        <f t="shared" si="41"/>
        <v>2505.1460000000002</v>
      </c>
      <c r="AP238" s="65">
        <f t="shared" si="8"/>
        <v>1</v>
      </c>
      <c r="AQ238" s="16">
        <f t="shared" si="9"/>
        <v>1</v>
      </c>
      <c r="AR238" s="16">
        <f t="shared" si="10"/>
        <v>1</v>
      </c>
      <c r="AS238" s="66">
        <f t="shared" si="11"/>
        <v>21671.439999999999</v>
      </c>
      <c r="AT238" s="67">
        <f t="shared" si="12"/>
        <v>67466.600000000006</v>
      </c>
      <c r="AU238" s="68">
        <f t="shared" si="80"/>
        <v>20.6</v>
      </c>
      <c r="AV238" s="19">
        <f t="shared" si="14"/>
        <v>9.8540945764263501E-3</v>
      </c>
      <c r="AW238" s="69">
        <f t="shared" si="15"/>
        <v>9.7029674756353239E-4</v>
      </c>
      <c r="AY238" s="65">
        <f t="shared" si="16"/>
        <v>0</v>
      </c>
      <c r="AZ238" s="16">
        <f t="shared" si="17"/>
        <v>1</v>
      </c>
      <c r="BA238" s="16">
        <f t="shared" si="18"/>
        <v>0</v>
      </c>
      <c r="BB238" s="70">
        <f t="shared" si="19"/>
        <v>0</v>
      </c>
      <c r="BC238" s="67">
        <f t="shared" si="20"/>
        <v>0</v>
      </c>
      <c r="BD238" s="71">
        <f t="shared" si="21"/>
        <v>0</v>
      </c>
      <c r="BE238" s="19">
        <f t="shared" si="22"/>
        <v>0</v>
      </c>
      <c r="BF238" s="69">
        <f t="shared" si="23"/>
        <v>0</v>
      </c>
      <c r="BH238" s="72">
        <f t="shared" si="24"/>
        <v>67466.600000000006</v>
      </c>
      <c r="BI238" s="73">
        <f t="shared" si="25"/>
        <v>1</v>
      </c>
      <c r="BJ238" s="74">
        <f t="shared" si="26"/>
        <v>5.997909759573347E-3</v>
      </c>
      <c r="BK238" s="75">
        <f t="shared" si="27"/>
        <v>5.905922950867554E-4</v>
      </c>
      <c r="BM238" s="76">
        <f t="shared" si="28"/>
        <v>1</v>
      </c>
    </row>
    <row r="239" spans="1:65" ht="12.75" customHeight="1" x14ac:dyDescent="0.2">
      <c r="A239" s="47"/>
      <c r="B239" s="48" t="s">
        <v>487</v>
      </c>
      <c r="C239" s="49">
        <v>40403.040000000001</v>
      </c>
      <c r="D239" s="50">
        <v>13</v>
      </c>
      <c r="E239" s="49">
        <v>37953.54</v>
      </c>
      <c r="F239" s="50" t="s">
        <v>55</v>
      </c>
      <c r="G239" s="51">
        <v>44491</v>
      </c>
      <c r="H239" s="52" t="s">
        <v>56</v>
      </c>
      <c r="I239" s="51">
        <v>44832</v>
      </c>
      <c r="J239" s="52">
        <f t="shared" si="84"/>
        <v>11.366666666666667</v>
      </c>
      <c r="K239" s="53" t="s">
        <v>488</v>
      </c>
      <c r="L239" s="53">
        <v>52000</v>
      </c>
      <c r="M239" s="54">
        <v>768.88</v>
      </c>
      <c r="N239" s="54">
        <v>8066.83</v>
      </c>
      <c r="O239" s="54">
        <v>2490.4299999999998</v>
      </c>
      <c r="P239" s="54">
        <f t="shared" si="69"/>
        <v>0</v>
      </c>
      <c r="Q239" s="54">
        <f t="shared" si="70"/>
        <v>0</v>
      </c>
      <c r="R239" s="55">
        <f t="shared" si="71"/>
        <v>0</v>
      </c>
      <c r="S239" s="55">
        <f t="shared" si="72"/>
        <v>1</v>
      </c>
      <c r="T239" s="56"/>
      <c r="V239" s="57">
        <v>277.5</v>
      </c>
      <c r="W239" s="58"/>
      <c r="X239" s="58">
        <v>19.43</v>
      </c>
      <c r="Y239" s="58"/>
      <c r="Z239" s="58">
        <f>26.2+253.5+189</f>
        <v>468.7</v>
      </c>
      <c r="AA239" s="58">
        <v>1715.71</v>
      </c>
      <c r="AB239" s="58">
        <f t="shared" si="37"/>
        <v>2481.3399999999997</v>
      </c>
      <c r="AC239" s="58"/>
      <c r="AD239" s="59">
        <v>1.4999999999999999E-2</v>
      </c>
      <c r="AE239" s="60">
        <f t="shared" si="92"/>
        <v>280.7522136986301</v>
      </c>
      <c r="AF239" s="61"/>
      <c r="AG239" s="59"/>
      <c r="AH239" s="60">
        <f t="shared" si="93"/>
        <v>0</v>
      </c>
      <c r="AI239" s="62"/>
      <c r="AJ239" s="62">
        <f t="shared" si="6"/>
        <v>280.7522136986301</v>
      </c>
      <c r="AK239" s="63">
        <f t="shared" si="40"/>
        <v>280.7522136986301</v>
      </c>
      <c r="AL239" s="64">
        <f t="shared" si="41"/>
        <v>768.88221369863004</v>
      </c>
      <c r="AP239" s="65">
        <f t="shared" si="8"/>
        <v>1</v>
      </c>
      <c r="AQ239" s="16">
        <f t="shared" si="9"/>
        <v>1</v>
      </c>
      <c r="AR239" s="16">
        <f t="shared" si="10"/>
        <v>1</v>
      </c>
      <c r="AS239" s="66">
        <f t="shared" si="11"/>
        <v>10557.26</v>
      </c>
      <c r="AT239" s="67">
        <f t="shared" si="12"/>
        <v>37953.54</v>
      </c>
      <c r="AU239" s="68">
        <f t="shared" si="80"/>
        <v>11.366666666666667</v>
      </c>
      <c r="AV239" s="19">
        <f t="shared" si="14"/>
        <v>5.5434507248057633E-3</v>
      </c>
      <c r="AW239" s="69">
        <f t="shared" si="15"/>
        <v>0</v>
      </c>
      <c r="AY239" s="65">
        <f t="shared" si="16"/>
        <v>0</v>
      </c>
      <c r="AZ239" s="16">
        <f t="shared" si="17"/>
        <v>1</v>
      </c>
      <c r="BA239" s="16">
        <f t="shared" si="18"/>
        <v>0</v>
      </c>
      <c r="BB239" s="70">
        <f t="shared" si="19"/>
        <v>0</v>
      </c>
      <c r="BC239" s="67">
        <f t="shared" si="20"/>
        <v>0</v>
      </c>
      <c r="BD239" s="71">
        <f t="shared" si="21"/>
        <v>0</v>
      </c>
      <c r="BE239" s="19">
        <f t="shared" si="22"/>
        <v>0</v>
      </c>
      <c r="BF239" s="69">
        <f t="shared" si="23"/>
        <v>0</v>
      </c>
      <c r="BH239" s="72">
        <f t="shared" si="24"/>
        <v>37953.54</v>
      </c>
      <c r="BI239" s="73">
        <f t="shared" si="25"/>
        <v>1</v>
      </c>
      <c r="BJ239" s="74">
        <f t="shared" si="26"/>
        <v>3.3741422863514301E-3</v>
      </c>
      <c r="BK239" s="75">
        <f t="shared" si="27"/>
        <v>0</v>
      </c>
      <c r="BM239" s="76">
        <f t="shared" si="28"/>
        <v>1</v>
      </c>
    </row>
    <row r="240" spans="1:65" ht="12.75" customHeight="1" x14ac:dyDescent="0.2">
      <c r="A240" s="47"/>
      <c r="B240" s="48" t="s">
        <v>489</v>
      </c>
      <c r="C240" s="49">
        <v>30344.95</v>
      </c>
      <c r="D240" s="50">
        <v>11</v>
      </c>
      <c r="E240" s="49">
        <v>26354.33</v>
      </c>
      <c r="F240" s="50" t="s">
        <v>55</v>
      </c>
      <c r="G240" s="51">
        <v>44519</v>
      </c>
      <c r="H240" s="52" t="s">
        <v>56</v>
      </c>
      <c r="I240" s="51">
        <v>44719</v>
      </c>
      <c r="J240" s="52">
        <f t="shared" si="84"/>
        <v>6.666666666666667</v>
      </c>
      <c r="K240" s="53" t="s">
        <v>490</v>
      </c>
      <c r="L240" s="53">
        <v>76000</v>
      </c>
      <c r="M240" s="54">
        <v>573.92999999999995</v>
      </c>
      <c r="N240" s="54">
        <v>6217.57</v>
      </c>
      <c r="O240" s="54">
        <v>0</v>
      </c>
      <c r="P240" s="54">
        <f t="shared" si="69"/>
        <v>0</v>
      </c>
      <c r="Q240" s="54">
        <f t="shared" si="70"/>
        <v>0</v>
      </c>
      <c r="R240" s="55">
        <f t="shared" si="71"/>
        <v>0</v>
      </c>
      <c r="S240" s="55">
        <f t="shared" si="72"/>
        <v>1</v>
      </c>
      <c r="T240" s="56"/>
      <c r="V240" s="57">
        <v>288</v>
      </c>
      <c r="W240" s="58"/>
      <c r="X240" s="58">
        <v>20.16</v>
      </c>
      <c r="Y240" s="58"/>
      <c r="Z240" s="58">
        <f>167.4+195.12+158.76</f>
        <v>521.28</v>
      </c>
      <c r="AA240" s="58">
        <v>201.99</v>
      </c>
      <c r="AB240" s="58">
        <f t="shared" si="37"/>
        <v>1031.4299999999998</v>
      </c>
      <c r="AC240" s="58"/>
      <c r="AD240" s="59">
        <v>2.5000000000000001E-3</v>
      </c>
      <c r="AE240" s="60">
        <f t="shared" si="92"/>
        <v>32.491639726027401</v>
      </c>
      <c r="AF240" s="61"/>
      <c r="AG240" s="59"/>
      <c r="AH240" s="60">
        <f t="shared" si="93"/>
        <v>0</v>
      </c>
      <c r="AI240" s="62"/>
      <c r="AJ240" s="62">
        <f t="shared" si="6"/>
        <v>32.491639726027401</v>
      </c>
      <c r="AK240" s="63">
        <f t="shared" si="40"/>
        <v>32.491639726027401</v>
      </c>
      <c r="AL240" s="64">
        <f t="shared" si="41"/>
        <v>573.93163972602736</v>
      </c>
      <c r="AP240" s="65">
        <f t="shared" si="8"/>
        <v>1</v>
      </c>
      <c r="AQ240" s="16">
        <f t="shared" si="9"/>
        <v>1</v>
      </c>
      <c r="AR240" s="16">
        <f t="shared" si="10"/>
        <v>1</v>
      </c>
      <c r="AS240" s="66">
        <f t="shared" si="11"/>
        <v>6217.57</v>
      </c>
      <c r="AT240" s="67">
        <f t="shared" si="12"/>
        <v>26354.33</v>
      </c>
      <c r="AU240" s="68">
        <f t="shared" si="80"/>
        <v>6.666666666666667</v>
      </c>
      <c r="AV240" s="19">
        <f t="shared" si="14"/>
        <v>3.8492833538128529E-3</v>
      </c>
      <c r="AW240" s="69">
        <f t="shared" si="15"/>
        <v>0</v>
      </c>
      <c r="AY240" s="65">
        <f t="shared" si="16"/>
        <v>0</v>
      </c>
      <c r="AZ240" s="16">
        <f t="shared" si="17"/>
        <v>1</v>
      </c>
      <c r="BA240" s="16">
        <f t="shared" si="18"/>
        <v>0</v>
      </c>
      <c r="BB240" s="70">
        <f t="shared" si="19"/>
        <v>0</v>
      </c>
      <c r="BC240" s="67">
        <f t="shared" si="20"/>
        <v>0</v>
      </c>
      <c r="BD240" s="71">
        <f t="shared" si="21"/>
        <v>0</v>
      </c>
      <c r="BE240" s="19">
        <f t="shared" si="22"/>
        <v>0</v>
      </c>
      <c r="BF240" s="69">
        <f t="shared" si="23"/>
        <v>0</v>
      </c>
      <c r="BH240" s="72">
        <f t="shared" si="24"/>
        <v>26354.33</v>
      </c>
      <c r="BI240" s="73">
        <f t="shared" si="25"/>
        <v>1</v>
      </c>
      <c r="BJ240" s="74">
        <f t="shared" si="26"/>
        <v>2.3429503356329896E-3</v>
      </c>
      <c r="BK240" s="75">
        <f t="shared" si="27"/>
        <v>0</v>
      </c>
      <c r="BM240" s="76">
        <f t="shared" si="28"/>
        <v>1</v>
      </c>
    </row>
    <row r="241" spans="1:65" ht="12.75" customHeight="1" x14ac:dyDescent="0.2">
      <c r="A241" s="47"/>
      <c r="B241" s="48" t="s">
        <v>491</v>
      </c>
      <c r="C241" s="49">
        <v>30350</v>
      </c>
      <c r="D241" s="50">
        <v>11</v>
      </c>
      <c r="E241" s="49">
        <v>31413.05</v>
      </c>
      <c r="F241" s="50" t="s">
        <v>55</v>
      </c>
      <c r="G241" s="51">
        <v>44522</v>
      </c>
      <c r="H241" s="52" t="s">
        <v>56</v>
      </c>
      <c r="I241" s="51">
        <v>44703</v>
      </c>
      <c r="J241" s="52">
        <v>6</v>
      </c>
      <c r="K241" s="53" t="s">
        <v>492</v>
      </c>
      <c r="L241" s="53">
        <v>40000</v>
      </c>
      <c r="M241" s="54">
        <v>492.89</v>
      </c>
      <c r="N241" s="54">
        <v>6931</v>
      </c>
      <c r="O241" s="54">
        <v>2000</v>
      </c>
      <c r="P241" s="54">
        <f t="shared" si="69"/>
        <v>0</v>
      </c>
      <c r="Q241" s="54">
        <f t="shared" si="70"/>
        <v>836.9399999999996</v>
      </c>
      <c r="R241" s="55">
        <f t="shared" si="71"/>
        <v>2.6643067132927228E-2</v>
      </c>
      <c r="S241" s="55">
        <f t="shared" si="72"/>
        <v>0.97335693286707281</v>
      </c>
      <c r="T241" s="56"/>
      <c r="V241" s="57">
        <v>216</v>
      </c>
      <c r="W241" s="58">
        <v>138.41</v>
      </c>
      <c r="X241" s="58">
        <v>24.81</v>
      </c>
      <c r="Y241" s="58"/>
      <c r="Z241" s="58">
        <f>125.82+86.13+117.72</f>
        <v>329.66999999999996</v>
      </c>
      <c r="AA241" s="58"/>
      <c r="AB241" s="58">
        <f t="shared" si="37"/>
        <v>708.89</v>
      </c>
      <c r="AC241" s="58"/>
      <c r="AD241" s="59">
        <v>0</v>
      </c>
      <c r="AE241" s="60">
        <f t="shared" si="92"/>
        <v>0</v>
      </c>
      <c r="AF241" s="61"/>
      <c r="AG241" s="59"/>
      <c r="AH241" s="60">
        <f t="shared" si="93"/>
        <v>0</v>
      </c>
      <c r="AI241" s="62"/>
      <c r="AJ241" s="62">
        <f t="shared" si="6"/>
        <v>0</v>
      </c>
      <c r="AK241" s="63">
        <f t="shared" si="40"/>
        <v>0</v>
      </c>
      <c r="AL241" s="64">
        <f t="shared" si="41"/>
        <v>492.89</v>
      </c>
      <c r="AP241" s="65">
        <f t="shared" si="8"/>
        <v>1</v>
      </c>
      <c r="AQ241" s="16">
        <f t="shared" si="9"/>
        <v>1</v>
      </c>
      <c r="AR241" s="16">
        <f t="shared" si="10"/>
        <v>1</v>
      </c>
      <c r="AS241" s="66">
        <f t="shared" si="11"/>
        <v>8931</v>
      </c>
      <c r="AT241" s="67">
        <f t="shared" si="12"/>
        <v>31413.05</v>
      </c>
      <c r="AU241" s="68">
        <f t="shared" si="80"/>
        <v>6</v>
      </c>
      <c r="AV241" s="19">
        <f t="shared" si="14"/>
        <v>4.5881542220003631E-3</v>
      </c>
      <c r="AW241" s="69">
        <f t="shared" si="15"/>
        <v>1.2224250095297916E-4</v>
      </c>
      <c r="AY241" s="65">
        <f t="shared" si="16"/>
        <v>0</v>
      </c>
      <c r="AZ241" s="16">
        <f t="shared" si="17"/>
        <v>1</v>
      </c>
      <c r="BA241" s="16">
        <f t="shared" si="18"/>
        <v>0</v>
      </c>
      <c r="BB241" s="70">
        <f t="shared" si="19"/>
        <v>0</v>
      </c>
      <c r="BC241" s="67">
        <f t="shared" si="20"/>
        <v>0</v>
      </c>
      <c r="BD241" s="71">
        <f t="shared" si="21"/>
        <v>0</v>
      </c>
      <c r="BE241" s="19">
        <f t="shared" si="22"/>
        <v>0</v>
      </c>
      <c r="BF241" s="69">
        <f t="shared" si="23"/>
        <v>0</v>
      </c>
      <c r="BH241" s="72">
        <f t="shared" si="24"/>
        <v>31413.05</v>
      </c>
      <c r="BI241" s="73">
        <f t="shared" si="25"/>
        <v>1</v>
      </c>
      <c r="BJ241" s="74">
        <f t="shared" si="26"/>
        <v>2.7926802176627473E-3</v>
      </c>
      <c r="BK241" s="75">
        <f t="shared" si="27"/>
        <v>7.4405566519986403E-5</v>
      </c>
      <c r="BM241" s="76">
        <f t="shared" si="28"/>
        <v>1</v>
      </c>
    </row>
    <row r="242" spans="1:65" ht="12.75" customHeight="1" x14ac:dyDescent="0.2">
      <c r="A242" s="47"/>
      <c r="B242" s="48" t="s">
        <v>493</v>
      </c>
      <c r="C242" s="49">
        <v>43650</v>
      </c>
      <c r="D242" s="50">
        <v>13</v>
      </c>
      <c r="E242" s="49">
        <v>41590.18</v>
      </c>
      <c r="F242" s="50" t="s">
        <v>55</v>
      </c>
      <c r="G242" s="51">
        <v>44531</v>
      </c>
      <c r="H242" s="52" t="s">
        <v>56</v>
      </c>
      <c r="I242" s="51">
        <v>44656</v>
      </c>
      <c r="J242" s="52">
        <f>IF(I242="Active",0,(IF(I242="N/A","N/A",(I242-G242)/30)))</f>
        <v>4.166666666666667</v>
      </c>
      <c r="K242" s="53" t="s">
        <v>494</v>
      </c>
      <c r="L242" s="53">
        <v>66000</v>
      </c>
      <c r="M242" s="54">
        <v>2079.5</v>
      </c>
      <c r="N242" s="54">
        <v>16446</v>
      </c>
      <c r="O242" s="54">
        <v>3666.73</v>
      </c>
      <c r="P242" s="54">
        <f t="shared" si="69"/>
        <v>0</v>
      </c>
      <c r="Q242" s="54">
        <f t="shared" si="70"/>
        <v>0</v>
      </c>
      <c r="R242" s="55">
        <f t="shared" si="71"/>
        <v>0</v>
      </c>
      <c r="S242" s="55">
        <f t="shared" si="72"/>
        <v>1</v>
      </c>
      <c r="T242" s="56"/>
      <c r="V242" s="57">
        <v>368</v>
      </c>
      <c r="W242" s="58"/>
      <c r="X242" s="58">
        <v>25.76</v>
      </c>
      <c r="Y242" s="58"/>
      <c r="Z242" s="58">
        <f>296.7+546.94</f>
        <v>843.6400000000001</v>
      </c>
      <c r="AA242" s="58">
        <v>9795.1299999999992</v>
      </c>
      <c r="AB242" s="58">
        <f t="shared" si="37"/>
        <v>11032.529999999999</v>
      </c>
      <c r="AC242" s="58"/>
      <c r="AD242" s="59">
        <v>5.8999999999999997E-2</v>
      </c>
      <c r="AE242" s="60">
        <f t="shared" si="92"/>
        <v>1210.1033194520546</v>
      </c>
      <c r="AF242" s="61"/>
      <c r="AG242" s="59"/>
      <c r="AH242" s="60">
        <f t="shared" si="93"/>
        <v>0</v>
      </c>
      <c r="AI242" s="62"/>
      <c r="AJ242" s="62">
        <f t="shared" si="6"/>
        <v>1210.1033194520546</v>
      </c>
      <c r="AK242" s="63">
        <f t="shared" si="40"/>
        <v>1210.1033194520546</v>
      </c>
      <c r="AL242" s="64">
        <f t="shared" si="41"/>
        <v>2079.5033194520547</v>
      </c>
      <c r="AP242" s="65">
        <f t="shared" si="8"/>
        <v>1</v>
      </c>
      <c r="AQ242" s="16">
        <f t="shared" si="9"/>
        <v>1</v>
      </c>
      <c r="AR242" s="16">
        <f t="shared" si="10"/>
        <v>1</v>
      </c>
      <c r="AS242" s="66">
        <f t="shared" si="11"/>
        <v>20112.73</v>
      </c>
      <c r="AT242" s="67">
        <f t="shared" si="12"/>
        <v>41590.18</v>
      </c>
      <c r="AU242" s="68">
        <f t="shared" si="80"/>
        <v>4.166666666666667</v>
      </c>
      <c r="AV242" s="19">
        <f t="shared" si="14"/>
        <v>6.074614211633543E-3</v>
      </c>
      <c r="AW242" s="69">
        <f t="shared" si="15"/>
        <v>0</v>
      </c>
      <c r="AY242" s="65">
        <f t="shared" si="16"/>
        <v>0</v>
      </c>
      <c r="AZ242" s="16">
        <f t="shared" si="17"/>
        <v>1</v>
      </c>
      <c r="BA242" s="16">
        <f t="shared" si="18"/>
        <v>0</v>
      </c>
      <c r="BB242" s="70">
        <f t="shared" si="19"/>
        <v>0</v>
      </c>
      <c r="BC242" s="67">
        <f t="shared" si="20"/>
        <v>0</v>
      </c>
      <c r="BD242" s="71">
        <f t="shared" si="21"/>
        <v>0</v>
      </c>
      <c r="BE242" s="19">
        <f t="shared" si="22"/>
        <v>0</v>
      </c>
      <c r="BF242" s="69">
        <f t="shared" si="23"/>
        <v>0</v>
      </c>
      <c r="BH242" s="72">
        <f t="shared" si="24"/>
        <v>41590.18</v>
      </c>
      <c r="BI242" s="73">
        <f t="shared" si="25"/>
        <v>1</v>
      </c>
      <c r="BJ242" s="74">
        <f t="shared" si="26"/>
        <v>3.6974465368702766E-3</v>
      </c>
      <c r="BK242" s="75">
        <f t="shared" si="27"/>
        <v>0</v>
      </c>
      <c r="BM242" s="76">
        <f t="shared" si="28"/>
        <v>1</v>
      </c>
    </row>
    <row r="243" spans="1:65" ht="12.75" customHeight="1" x14ac:dyDescent="0.2">
      <c r="A243" s="47"/>
      <c r="B243" s="48" t="s">
        <v>495</v>
      </c>
      <c r="C243" s="49">
        <v>34634.26</v>
      </c>
      <c r="D243" s="50">
        <v>13</v>
      </c>
      <c r="E243" s="49">
        <v>30769.67</v>
      </c>
      <c r="F243" s="50" t="s">
        <v>55</v>
      </c>
      <c r="G243" s="51">
        <v>44533</v>
      </c>
      <c r="H243" s="52" t="s">
        <v>56</v>
      </c>
      <c r="I243" s="51">
        <v>44703</v>
      </c>
      <c r="J243" s="52">
        <v>5</v>
      </c>
      <c r="K243" s="53" t="s">
        <v>496</v>
      </c>
      <c r="L243" s="53">
        <v>42000</v>
      </c>
      <c r="M243" s="54">
        <v>798.08</v>
      </c>
      <c r="N243" s="54">
        <v>7635</v>
      </c>
      <c r="O243" s="54">
        <v>3645</v>
      </c>
      <c r="P243" s="54">
        <f t="shared" si="69"/>
        <v>0</v>
      </c>
      <c r="Q243" s="54">
        <f t="shared" si="70"/>
        <v>847.74999999999818</v>
      </c>
      <c r="R243" s="55">
        <f t="shared" si="71"/>
        <v>2.7551481702598638E-2</v>
      </c>
      <c r="S243" s="55">
        <f t="shared" si="72"/>
        <v>0.97244851829740131</v>
      </c>
      <c r="T243" s="56"/>
      <c r="V243" s="57">
        <v>464</v>
      </c>
      <c r="W243" s="58"/>
      <c r="X243" s="58">
        <v>32.479999999999997</v>
      </c>
      <c r="Y243" s="58"/>
      <c r="Z243" s="58">
        <f>269.7+210.54+285.36</f>
        <v>765.6</v>
      </c>
      <c r="AA243" s="58"/>
      <c r="AB243" s="58">
        <f t="shared" si="37"/>
        <v>1262.08</v>
      </c>
      <c r="AC243" s="58"/>
      <c r="AD243" s="59">
        <v>0</v>
      </c>
      <c r="AE243" s="60">
        <f t="shared" si="92"/>
        <v>0</v>
      </c>
      <c r="AF243" s="61"/>
      <c r="AG243" s="59"/>
      <c r="AH243" s="60">
        <f t="shared" si="93"/>
        <v>0</v>
      </c>
      <c r="AI243" s="62"/>
      <c r="AJ243" s="62">
        <f t="shared" si="6"/>
        <v>0</v>
      </c>
      <c r="AK243" s="63">
        <f t="shared" si="40"/>
        <v>0</v>
      </c>
      <c r="AL243" s="64">
        <f t="shared" si="41"/>
        <v>798.08</v>
      </c>
      <c r="AP243" s="65">
        <f t="shared" si="8"/>
        <v>1</v>
      </c>
      <c r="AQ243" s="16">
        <f t="shared" si="9"/>
        <v>1</v>
      </c>
      <c r="AR243" s="16">
        <f t="shared" si="10"/>
        <v>1</v>
      </c>
      <c r="AS243" s="66">
        <f t="shared" si="11"/>
        <v>11280</v>
      </c>
      <c r="AT243" s="67">
        <f t="shared" si="12"/>
        <v>30769.67</v>
      </c>
      <c r="AU243" s="68">
        <f t="shared" si="80"/>
        <v>5</v>
      </c>
      <c r="AV243" s="19">
        <f t="shared" si="14"/>
        <v>4.4941828736801397E-3</v>
      </c>
      <c r="AW243" s="69">
        <f t="shared" si="15"/>
        <v>1.2382139721233052E-4</v>
      </c>
      <c r="AY243" s="65">
        <f t="shared" si="16"/>
        <v>0</v>
      </c>
      <c r="AZ243" s="16">
        <f t="shared" si="17"/>
        <v>1</v>
      </c>
      <c r="BA243" s="16">
        <f t="shared" si="18"/>
        <v>0</v>
      </c>
      <c r="BB243" s="70">
        <f t="shared" si="19"/>
        <v>0</v>
      </c>
      <c r="BC243" s="67">
        <f t="shared" si="20"/>
        <v>0</v>
      </c>
      <c r="BD243" s="71">
        <f t="shared" si="21"/>
        <v>0</v>
      </c>
      <c r="BE243" s="19">
        <f t="shared" si="22"/>
        <v>0</v>
      </c>
      <c r="BF243" s="69">
        <f t="shared" si="23"/>
        <v>0</v>
      </c>
      <c r="BH243" s="72">
        <f t="shared" si="24"/>
        <v>30769.67</v>
      </c>
      <c r="BI243" s="73">
        <f t="shared" si="25"/>
        <v>1</v>
      </c>
      <c r="BJ243" s="74">
        <f t="shared" si="26"/>
        <v>2.7354825052967129E-3</v>
      </c>
      <c r="BK243" s="75">
        <f t="shared" si="27"/>
        <v>7.5366596192461065E-5</v>
      </c>
      <c r="BM243" s="76">
        <f t="shared" si="28"/>
        <v>1</v>
      </c>
    </row>
    <row r="244" spans="1:65" ht="12.75" customHeight="1" x14ac:dyDescent="0.2">
      <c r="A244" s="47"/>
      <c r="B244" s="48" t="s">
        <v>497</v>
      </c>
      <c r="C244" s="49">
        <v>36000</v>
      </c>
      <c r="D244" s="50">
        <v>13</v>
      </c>
      <c r="E244" s="49">
        <v>33934.03</v>
      </c>
      <c r="F244" s="50" t="s">
        <v>55</v>
      </c>
      <c r="G244" s="51">
        <v>44557</v>
      </c>
      <c r="H244" s="52" t="s">
        <v>56</v>
      </c>
      <c r="I244" s="51">
        <v>44680</v>
      </c>
      <c r="J244" s="52">
        <f t="shared" ref="J244:J245" si="94">IF(I244="Active",0,(IF(I244="N/A","N/A",(I244-G244)/30)))</f>
        <v>4.0999999999999996</v>
      </c>
      <c r="K244" s="53" t="s">
        <v>498</v>
      </c>
      <c r="L244" s="53">
        <v>62000</v>
      </c>
      <c r="M244" s="54">
        <v>2141.67</v>
      </c>
      <c r="N244" s="54">
        <v>9245.6200000000008</v>
      </c>
      <c r="O244" s="54">
        <v>4124.54</v>
      </c>
      <c r="P244" s="54">
        <f t="shared" si="69"/>
        <v>0</v>
      </c>
      <c r="Q244" s="54">
        <f t="shared" si="70"/>
        <v>0</v>
      </c>
      <c r="R244" s="55">
        <f t="shared" si="71"/>
        <v>0</v>
      </c>
      <c r="S244" s="55">
        <f t="shared" si="72"/>
        <v>1</v>
      </c>
      <c r="T244" s="56"/>
      <c r="V244" s="57">
        <v>208</v>
      </c>
      <c r="W244" s="58"/>
      <c r="X244" s="58">
        <v>14.56</v>
      </c>
      <c r="Y244" s="58">
        <v>373.53</v>
      </c>
      <c r="Z244" s="58">
        <f>467.48+155.74</f>
        <v>623.22</v>
      </c>
      <c r="AA244" s="58">
        <f>2437.4+2877.33</f>
        <v>5314.73</v>
      </c>
      <c r="AB244" s="58">
        <f t="shared" si="37"/>
        <v>6534.04</v>
      </c>
      <c r="AC244" s="58">
        <v>16653.93</v>
      </c>
      <c r="AD244" s="59">
        <v>6.5000000000000002E-2</v>
      </c>
      <c r="AE244" s="60">
        <f t="shared" ref="AE244:AE246" si="95">((AC244*AD244)/365)*180</f>
        <v>533.8383041095891</v>
      </c>
      <c r="AF244" s="61">
        <v>17280.099999999999</v>
      </c>
      <c r="AG244" s="59">
        <v>7.0000000000000007E-2</v>
      </c>
      <c r="AH244" s="60">
        <f t="shared" ref="AH244:AH246" si="96">((AF244*AG244)/365)*180</f>
        <v>596.51852054794517</v>
      </c>
      <c r="AI244" s="62">
        <f t="shared" ref="AI244:AI249" si="97">AC244+AF244</f>
        <v>33934.03</v>
      </c>
      <c r="AJ244" s="62">
        <f t="shared" si="6"/>
        <v>1130.3568246575342</v>
      </c>
      <c r="AK244" s="63">
        <f t="shared" si="40"/>
        <v>1130.3568246575342</v>
      </c>
      <c r="AL244" s="64">
        <f t="shared" si="41"/>
        <v>2141.6668246575341</v>
      </c>
      <c r="AP244" s="65">
        <f t="shared" si="8"/>
        <v>1</v>
      </c>
      <c r="AQ244" s="16">
        <f t="shared" si="9"/>
        <v>1</v>
      </c>
      <c r="AR244" s="16">
        <f t="shared" si="10"/>
        <v>1</v>
      </c>
      <c r="AS244" s="66">
        <f t="shared" si="11"/>
        <v>13370.16</v>
      </c>
      <c r="AT244" s="67">
        <f t="shared" si="12"/>
        <v>33934.03</v>
      </c>
      <c r="AU244" s="68">
        <f t="shared" si="80"/>
        <v>4.0999999999999996</v>
      </c>
      <c r="AV244" s="19">
        <f t="shared" si="14"/>
        <v>4.9563656828606898E-3</v>
      </c>
      <c r="AW244" s="69">
        <f t="shared" si="15"/>
        <v>0</v>
      </c>
      <c r="AY244" s="65">
        <f t="shared" si="16"/>
        <v>0</v>
      </c>
      <c r="AZ244" s="16">
        <f t="shared" si="17"/>
        <v>1</v>
      </c>
      <c r="BA244" s="16">
        <f t="shared" si="18"/>
        <v>0</v>
      </c>
      <c r="BB244" s="70">
        <f t="shared" si="19"/>
        <v>0</v>
      </c>
      <c r="BC244" s="67">
        <f t="shared" si="20"/>
        <v>0</v>
      </c>
      <c r="BD244" s="71">
        <f t="shared" si="21"/>
        <v>0</v>
      </c>
      <c r="BE244" s="19">
        <f t="shared" si="22"/>
        <v>0</v>
      </c>
      <c r="BF244" s="69">
        <f t="shared" si="23"/>
        <v>0</v>
      </c>
      <c r="BH244" s="72">
        <f t="shared" si="24"/>
        <v>33934.03</v>
      </c>
      <c r="BI244" s="73">
        <f t="shared" si="25"/>
        <v>1</v>
      </c>
      <c r="BJ244" s="74">
        <f t="shared" si="26"/>
        <v>3.0168001606521557E-3</v>
      </c>
      <c r="BK244" s="75">
        <f t="shared" si="27"/>
        <v>0</v>
      </c>
      <c r="BM244" s="76">
        <f t="shared" si="28"/>
        <v>1</v>
      </c>
    </row>
    <row r="245" spans="1:65" ht="12.75" customHeight="1" x14ac:dyDescent="0.2">
      <c r="A245" s="47"/>
      <c r="B245" s="48" t="s">
        <v>499</v>
      </c>
      <c r="C245" s="49">
        <v>23186.49</v>
      </c>
      <c r="D245" s="50">
        <v>13</v>
      </c>
      <c r="E245" s="49">
        <v>19381.650000000001</v>
      </c>
      <c r="F245" s="50" t="s">
        <v>55</v>
      </c>
      <c r="G245" s="51">
        <v>44558</v>
      </c>
      <c r="H245" s="52" t="s">
        <v>56</v>
      </c>
      <c r="I245" s="51">
        <v>45441</v>
      </c>
      <c r="J245" s="52">
        <f t="shared" si="94"/>
        <v>29.433333333333334</v>
      </c>
      <c r="K245" s="53" t="s">
        <v>500</v>
      </c>
      <c r="L245" s="53">
        <v>42500</v>
      </c>
      <c r="M245" s="54">
        <v>1145.6374273972601</v>
      </c>
      <c r="N245" s="54">
        <v>5531.13</v>
      </c>
      <c r="O245" s="54">
        <v>6200.86</v>
      </c>
      <c r="P245" s="54">
        <f t="shared" si="69"/>
        <v>0</v>
      </c>
      <c r="Q245" s="54">
        <f t="shared" si="70"/>
        <v>0</v>
      </c>
      <c r="R245" s="55">
        <f t="shared" si="71"/>
        <v>0</v>
      </c>
      <c r="S245" s="55">
        <f t="shared" si="72"/>
        <v>1</v>
      </c>
      <c r="T245" s="56"/>
      <c r="V245" s="57">
        <v>224</v>
      </c>
      <c r="W245" s="58"/>
      <c r="X245" s="58">
        <v>15.68</v>
      </c>
      <c r="Y245" s="58">
        <v>136.08000000000001</v>
      </c>
      <c r="Z245" s="58">
        <f>120.96+96.6+77.56+21.06+41.34</f>
        <v>357.52</v>
      </c>
      <c r="AA245" s="58">
        <f>2470.02+1151.26</f>
        <v>3621.2799999999997</v>
      </c>
      <c r="AB245" s="58">
        <f t="shared" si="37"/>
        <v>4354.5600000000004</v>
      </c>
      <c r="AC245" s="58">
        <v>13264.81</v>
      </c>
      <c r="AD245" s="59">
        <v>6.5000000000000002E-2</v>
      </c>
      <c r="AE245" s="60">
        <f t="shared" si="95"/>
        <v>425.20075890410959</v>
      </c>
      <c r="AF245" s="61">
        <v>6116.84</v>
      </c>
      <c r="AG245" s="59">
        <v>7.0000000000000007E-2</v>
      </c>
      <c r="AH245" s="60">
        <f t="shared" si="96"/>
        <v>211.1566684931507</v>
      </c>
      <c r="AI245" s="62">
        <f t="shared" si="97"/>
        <v>19381.650000000001</v>
      </c>
      <c r="AJ245" s="62">
        <f t="shared" si="6"/>
        <v>636.35742739726027</v>
      </c>
      <c r="AK245" s="63">
        <f t="shared" si="40"/>
        <v>636.35742739726027</v>
      </c>
      <c r="AL245" s="64">
        <f t="shared" si="41"/>
        <v>1145.6374273972601</v>
      </c>
      <c r="AP245" s="65">
        <f t="shared" si="8"/>
        <v>1</v>
      </c>
      <c r="AQ245" s="16">
        <f t="shared" si="9"/>
        <v>1</v>
      </c>
      <c r="AR245" s="16">
        <f t="shared" si="10"/>
        <v>1</v>
      </c>
      <c r="AS245" s="66">
        <f t="shared" si="11"/>
        <v>11731.99</v>
      </c>
      <c r="AT245" s="67">
        <f t="shared" si="12"/>
        <v>19381.650000000001</v>
      </c>
      <c r="AU245" s="68">
        <f t="shared" si="80"/>
        <v>29.433333333333334</v>
      </c>
      <c r="AV245" s="19">
        <f t="shared" si="14"/>
        <v>2.8308616729936556E-3</v>
      </c>
      <c r="AW245" s="69">
        <f t="shared" si="15"/>
        <v>0</v>
      </c>
      <c r="AY245" s="65">
        <f t="shared" si="16"/>
        <v>0</v>
      </c>
      <c r="AZ245" s="16">
        <f t="shared" si="17"/>
        <v>1</v>
      </c>
      <c r="BA245" s="16">
        <f t="shared" si="18"/>
        <v>0</v>
      </c>
      <c r="BB245" s="70">
        <f t="shared" si="19"/>
        <v>0</v>
      </c>
      <c r="BC245" s="67">
        <f t="shared" si="20"/>
        <v>0</v>
      </c>
      <c r="BD245" s="71">
        <f t="shared" si="21"/>
        <v>0</v>
      </c>
      <c r="BE245" s="19">
        <f t="shared" si="22"/>
        <v>0</v>
      </c>
      <c r="BF245" s="69">
        <f t="shared" si="23"/>
        <v>0</v>
      </c>
      <c r="BH245" s="72">
        <f t="shared" si="24"/>
        <v>19381.650000000001</v>
      </c>
      <c r="BI245" s="73">
        <f t="shared" si="25"/>
        <v>1</v>
      </c>
      <c r="BJ245" s="74">
        <f t="shared" si="26"/>
        <v>1.7230657494469079E-3</v>
      </c>
      <c r="BK245" s="75">
        <f t="shared" si="27"/>
        <v>0</v>
      </c>
      <c r="BM245" s="76">
        <f t="shared" si="28"/>
        <v>1</v>
      </c>
    </row>
    <row r="246" spans="1:65" ht="12.75" customHeight="1" x14ac:dyDescent="0.2">
      <c r="A246" s="47"/>
      <c r="B246" s="48" t="s">
        <v>501</v>
      </c>
      <c r="C246" s="49">
        <v>41400</v>
      </c>
      <c r="D246" s="50">
        <v>13</v>
      </c>
      <c r="E246" s="49">
        <v>40692.51</v>
      </c>
      <c r="F246" s="50" t="s">
        <v>55</v>
      </c>
      <c r="G246" s="51">
        <v>44586</v>
      </c>
      <c r="H246" s="52" t="s">
        <v>56</v>
      </c>
      <c r="I246" s="51">
        <v>44703</v>
      </c>
      <c r="J246" s="52">
        <v>4</v>
      </c>
      <c r="K246" s="53" t="s">
        <v>502</v>
      </c>
      <c r="L246" s="53">
        <v>45000</v>
      </c>
      <c r="M246" s="54">
        <v>4062.16</v>
      </c>
      <c r="N246" s="54">
        <v>8996</v>
      </c>
      <c r="O246" s="54">
        <v>3298</v>
      </c>
      <c r="P246" s="54">
        <f t="shared" si="69"/>
        <v>0</v>
      </c>
      <c r="Q246" s="54">
        <f t="shared" si="70"/>
        <v>12048.670000000002</v>
      </c>
      <c r="R246" s="55">
        <f t="shared" si="71"/>
        <v>0.29609060733781234</v>
      </c>
      <c r="S246" s="55">
        <f t="shared" si="72"/>
        <v>0.70390939266218766</v>
      </c>
      <c r="T246" s="56"/>
      <c r="V246" s="57">
        <v>400</v>
      </c>
      <c r="W246" s="58">
        <f>241.1+165.83</f>
        <v>406.93</v>
      </c>
      <c r="X246" s="58">
        <f>39.61+16.88</f>
        <v>56.489999999999995</v>
      </c>
      <c r="Y246" s="58">
        <v>1431.4</v>
      </c>
      <c r="Z246" s="58">
        <f>306+350+147.5</f>
        <v>803.5</v>
      </c>
      <c r="AA246" s="58">
        <f>4682+10154.34</f>
        <v>14836.34</v>
      </c>
      <c r="AB246" s="58">
        <f t="shared" si="37"/>
        <v>17934.660000000003</v>
      </c>
      <c r="AC246" s="58">
        <v>16582.689999999999</v>
      </c>
      <c r="AD246" s="59">
        <v>6.5000000000000002E-2</v>
      </c>
      <c r="AE246" s="60">
        <f t="shared" si="95"/>
        <v>531.55472054794518</v>
      </c>
      <c r="AF246" s="61">
        <v>24109.82</v>
      </c>
      <c r="AG246" s="59">
        <v>7.0000000000000007E-2</v>
      </c>
      <c r="AH246" s="60">
        <f t="shared" si="96"/>
        <v>832.28419726027403</v>
      </c>
      <c r="AI246" s="62">
        <f t="shared" si="97"/>
        <v>40692.509999999995</v>
      </c>
      <c r="AJ246" s="62">
        <f t="shared" si="6"/>
        <v>1363.8389178082193</v>
      </c>
      <c r="AK246" s="63">
        <f t="shared" si="40"/>
        <v>1363.8389178082193</v>
      </c>
      <c r="AL246" s="64">
        <f t="shared" si="41"/>
        <v>4062.1589178082195</v>
      </c>
      <c r="AP246" s="65">
        <f t="shared" si="8"/>
        <v>1</v>
      </c>
      <c r="AQ246" s="16">
        <f t="shared" si="9"/>
        <v>1</v>
      </c>
      <c r="AR246" s="16">
        <f t="shared" si="10"/>
        <v>1</v>
      </c>
      <c r="AS246" s="66">
        <f t="shared" si="11"/>
        <v>12294</v>
      </c>
      <c r="AT246" s="67">
        <f t="shared" si="12"/>
        <v>40692.51</v>
      </c>
      <c r="AU246" s="68">
        <f t="shared" si="80"/>
        <v>4</v>
      </c>
      <c r="AV246" s="19">
        <f t="shared" si="14"/>
        <v>5.9435015562096646E-3</v>
      </c>
      <c r="AW246" s="69">
        <f t="shared" si="15"/>
        <v>1.7598149854913523E-3</v>
      </c>
      <c r="AY246" s="65">
        <f t="shared" si="16"/>
        <v>0</v>
      </c>
      <c r="AZ246" s="16">
        <f t="shared" si="17"/>
        <v>1</v>
      </c>
      <c r="BA246" s="16">
        <f t="shared" si="18"/>
        <v>0</v>
      </c>
      <c r="BB246" s="70">
        <f t="shared" si="19"/>
        <v>0</v>
      </c>
      <c r="BC246" s="67">
        <f t="shared" si="20"/>
        <v>0</v>
      </c>
      <c r="BD246" s="71">
        <f t="shared" si="21"/>
        <v>0</v>
      </c>
      <c r="BE246" s="19">
        <f t="shared" si="22"/>
        <v>0</v>
      </c>
      <c r="BF246" s="69">
        <f t="shared" si="23"/>
        <v>0</v>
      </c>
      <c r="BH246" s="72">
        <f t="shared" si="24"/>
        <v>40692.51</v>
      </c>
      <c r="BI246" s="73">
        <f t="shared" si="25"/>
        <v>1</v>
      </c>
      <c r="BJ246" s="74">
        <f t="shared" si="26"/>
        <v>3.6176419572134361E-3</v>
      </c>
      <c r="BK246" s="75">
        <f t="shared" si="27"/>
        <v>1.0711498042420785E-3</v>
      </c>
      <c r="BM246" s="76">
        <f t="shared" si="28"/>
        <v>1</v>
      </c>
    </row>
    <row r="247" spans="1:65" ht="12.75" customHeight="1" x14ac:dyDescent="0.2">
      <c r="A247" s="47"/>
      <c r="B247" s="48" t="s">
        <v>503</v>
      </c>
      <c r="C247" s="49">
        <v>38600</v>
      </c>
      <c r="D247" s="50">
        <v>13</v>
      </c>
      <c r="E247" s="49">
        <v>45115.75</v>
      </c>
      <c r="F247" s="50" t="s">
        <v>55</v>
      </c>
      <c r="G247" s="51">
        <v>44613</v>
      </c>
      <c r="H247" s="52" t="s">
        <v>56</v>
      </c>
      <c r="I247" s="51">
        <v>44677</v>
      </c>
      <c r="J247" s="52">
        <f t="shared" ref="J247:J318" si="98">IF(I247="Active",0,(IF(I247="N/A","N/A",(I247-G247)/30)))</f>
        <v>2.1333333333333333</v>
      </c>
      <c r="K247" s="53" t="s">
        <v>504</v>
      </c>
      <c r="L247" s="53">
        <v>50000</v>
      </c>
      <c r="M247" s="54">
        <v>615.91</v>
      </c>
      <c r="N247" s="54">
        <v>9980.61</v>
      </c>
      <c r="O247" s="54">
        <v>4160</v>
      </c>
      <c r="P247" s="54">
        <f t="shared" si="69"/>
        <v>0</v>
      </c>
      <c r="Q247" s="54">
        <f t="shared" si="70"/>
        <v>9872.27</v>
      </c>
      <c r="R247" s="55">
        <f t="shared" si="71"/>
        <v>0.21882092174019052</v>
      </c>
      <c r="S247" s="55">
        <f t="shared" si="72"/>
        <v>0.78117907825980948</v>
      </c>
      <c r="T247" s="56"/>
      <c r="V247" s="57">
        <v>506.19</v>
      </c>
      <c r="W247" s="58"/>
      <c r="X247" s="58">
        <v>35.43</v>
      </c>
      <c r="Y247" s="58"/>
      <c r="Z247" s="58">
        <v>246.75</v>
      </c>
      <c r="AA247" s="58">
        <v>2675.75</v>
      </c>
      <c r="AB247" s="58">
        <f t="shared" si="37"/>
        <v>3464.12</v>
      </c>
      <c r="AC247" s="58"/>
      <c r="AD247" s="59">
        <v>1.4999999999999999E-2</v>
      </c>
      <c r="AE247" s="60">
        <f>((E247*AD247)/365)*180</f>
        <v>333.73294520547944</v>
      </c>
      <c r="AF247" s="61"/>
      <c r="AG247" s="59"/>
      <c r="AH247" s="60">
        <f>((E247*AG247)/365)*180</f>
        <v>0</v>
      </c>
      <c r="AI247" s="62">
        <f t="shared" si="97"/>
        <v>0</v>
      </c>
      <c r="AJ247" s="62">
        <f t="shared" si="6"/>
        <v>333.73294520547944</v>
      </c>
      <c r="AK247" s="63">
        <f t="shared" si="40"/>
        <v>333.73294520547944</v>
      </c>
      <c r="AL247" s="64">
        <f t="shared" si="41"/>
        <v>615.91294520547945</v>
      </c>
      <c r="AP247" s="65">
        <f t="shared" si="8"/>
        <v>1</v>
      </c>
      <c r="AQ247" s="16">
        <f t="shared" si="9"/>
        <v>1</v>
      </c>
      <c r="AR247" s="16">
        <f t="shared" si="10"/>
        <v>1</v>
      </c>
      <c r="AS247" s="66">
        <f t="shared" si="11"/>
        <v>14140.61</v>
      </c>
      <c r="AT247" s="67">
        <f t="shared" si="12"/>
        <v>45115.75</v>
      </c>
      <c r="AU247" s="68">
        <f t="shared" si="80"/>
        <v>2.1333333333333333</v>
      </c>
      <c r="AV247" s="19">
        <f t="shared" si="14"/>
        <v>6.5895549410583468E-3</v>
      </c>
      <c r="AW247" s="69">
        <f t="shared" si="15"/>
        <v>1.4419324860600142E-3</v>
      </c>
      <c r="AY247" s="65">
        <f t="shared" si="16"/>
        <v>0</v>
      </c>
      <c r="AZ247" s="16">
        <f t="shared" si="17"/>
        <v>1</v>
      </c>
      <c r="BA247" s="16">
        <f t="shared" si="18"/>
        <v>0</v>
      </c>
      <c r="BB247" s="70">
        <f t="shared" si="19"/>
        <v>0</v>
      </c>
      <c r="BC247" s="67">
        <f t="shared" si="20"/>
        <v>0</v>
      </c>
      <c r="BD247" s="71">
        <f t="shared" si="21"/>
        <v>0</v>
      </c>
      <c r="BE247" s="19">
        <f t="shared" si="22"/>
        <v>0</v>
      </c>
      <c r="BF247" s="69">
        <f t="shared" si="23"/>
        <v>0</v>
      </c>
      <c r="BH247" s="72">
        <f t="shared" si="24"/>
        <v>45115.75</v>
      </c>
      <c r="BI247" s="73">
        <f t="shared" si="25"/>
        <v>1</v>
      </c>
      <c r="BJ247" s="74">
        <f t="shared" si="26"/>
        <v>4.010876451984704E-3</v>
      </c>
      <c r="BK247" s="75">
        <f t="shared" si="27"/>
        <v>8.77663682209318E-4</v>
      </c>
      <c r="BM247" s="76">
        <f t="shared" si="28"/>
        <v>1</v>
      </c>
    </row>
    <row r="248" spans="1:65" ht="12.75" customHeight="1" x14ac:dyDescent="0.2">
      <c r="A248" s="47"/>
      <c r="B248" s="48" t="s">
        <v>505</v>
      </c>
      <c r="C248" s="49">
        <v>49418.46</v>
      </c>
      <c r="D248" s="50">
        <v>13</v>
      </c>
      <c r="E248" s="49">
        <v>47486.58</v>
      </c>
      <c r="F248" s="50" t="s">
        <v>55</v>
      </c>
      <c r="G248" s="51">
        <v>44614</v>
      </c>
      <c r="H248" s="52" t="s">
        <v>56</v>
      </c>
      <c r="I248" s="51">
        <v>44858</v>
      </c>
      <c r="J248" s="52">
        <f t="shared" si="98"/>
        <v>8.1333333333333329</v>
      </c>
      <c r="K248" s="53" t="s">
        <v>506</v>
      </c>
      <c r="L248" s="53">
        <v>46000</v>
      </c>
      <c r="M248" s="54">
        <v>2156.14</v>
      </c>
      <c r="N248" s="54">
        <v>4627.32</v>
      </c>
      <c r="O248" s="54">
        <v>2080</v>
      </c>
      <c r="P248" s="54">
        <f t="shared" si="69"/>
        <v>1486.5800000000017</v>
      </c>
      <c r="Q248" s="54">
        <f t="shared" si="70"/>
        <v>10350.040000000001</v>
      </c>
      <c r="R248" s="55">
        <f t="shared" si="71"/>
        <v>0.21795715758009948</v>
      </c>
      <c r="S248" s="55">
        <f t="shared" si="72"/>
        <v>0.78204284241990052</v>
      </c>
      <c r="T248" s="56"/>
      <c r="V248" s="57">
        <v>462.5</v>
      </c>
      <c r="W248" s="58"/>
      <c r="X248" s="58">
        <v>32.380000000000003</v>
      </c>
      <c r="Y248" s="58"/>
      <c r="Z248" s="58">
        <f>289+221</f>
        <v>510</v>
      </c>
      <c r="AA248" s="58">
        <v>4548.7700000000004</v>
      </c>
      <c r="AB248" s="58">
        <f t="shared" si="37"/>
        <v>5553.6500000000005</v>
      </c>
      <c r="AC248" s="58">
        <v>20687.18</v>
      </c>
      <c r="AD248" s="59">
        <v>6.7500000000000004E-2</v>
      </c>
      <c r="AE248" s="60">
        <f>((AC248*AD248)/365)*180</f>
        <v>688.62804657534252</v>
      </c>
      <c r="AF248" s="61">
        <v>26799.4</v>
      </c>
      <c r="AG248" s="59">
        <v>7.0000000000000007E-2</v>
      </c>
      <c r="AH248" s="60">
        <f t="shared" ref="AH248:AH249" si="99">((AF248*AG248)/365)*180</f>
        <v>925.12997260273983</v>
      </c>
      <c r="AI248" s="62">
        <f t="shared" si="97"/>
        <v>47486.58</v>
      </c>
      <c r="AJ248" s="62">
        <f t="shared" si="6"/>
        <v>1613.7580191780823</v>
      </c>
      <c r="AK248" s="63">
        <f t="shared" si="40"/>
        <v>1613.7580191780823</v>
      </c>
      <c r="AL248" s="64">
        <f t="shared" si="41"/>
        <v>2156.1380191780822</v>
      </c>
      <c r="AP248" s="65">
        <f t="shared" si="8"/>
        <v>1</v>
      </c>
      <c r="AQ248" s="16">
        <f t="shared" si="9"/>
        <v>1</v>
      </c>
      <c r="AR248" s="16">
        <f t="shared" si="10"/>
        <v>1</v>
      </c>
      <c r="AS248" s="66">
        <f t="shared" si="11"/>
        <v>6707.32</v>
      </c>
      <c r="AT248" s="67">
        <f t="shared" si="12"/>
        <v>47486.58</v>
      </c>
      <c r="AU248" s="68">
        <f t="shared" si="80"/>
        <v>8.1333333333333329</v>
      </c>
      <c r="AV248" s="19">
        <f t="shared" si="14"/>
        <v>6.9358356643292526E-3</v>
      </c>
      <c r="AW248" s="69">
        <f t="shared" si="15"/>
        <v>1.511715026839885E-3</v>
      </c>
      <c r="AY248" s="65">
        <f t="shared" si="16"/>
        <v>0</v>
      </c>
      <c r="AZ248" s="16">
        <f t="shared" si="17"/>
        <v>1</v>
      </c>
      <c r="BA248" s="16">
        <f t="shared" si="18"/>
        <v>0</v>
      </c>
      <c r="BB248" s="70">
        <f t="shared" si="19"/>
        <v>0</v>
      </c>
      <c r="BC248" s="67">
        <f t="shared" si="20"/>
        <v>0</v>
      </c>
      <c r="BD248" s="71">
        <f t="shared" si="21"/>
        <v>0</v>
      </c>
      <c r="BE248" s="19">
        <f t="shared" si="22"/>
        <v>0</v>
      </c>
      <c r="BF248" s="69">
        <f t="shared" si="23"/>
        <v>0</v>
      </c>
      <c r="BH248" s="72">
        <f t="shared" si="24"/>
        <v>47486.58</v>
      </c>
      <c r="BI248" s="73">
        <f t="shared" si="25"/>
        <v>1</v>
      </c>
      <c r="BJ248" s="74">
        <f t="shared" si="26"/>
        <v>4.2216477728351581E-3</v>
      </c>
      <c r="BK248" s="75">
        <f t="shared" si="27"/>
        <v>9.2013834887150854E-4</v>
      </c>
      <c r="BM248" s="76">
        <f t="shared" si="28"/>
        <v>1</v>
      </c>
    </row>
    <row r="249" spans="1:65" ht="12.75" customHeight="1" x14ac:dyDescent="0.2">
      <c r="A249" s="47"/>
      <c r="B249" s="48" t="s">
        <v>507</v>
      </c>
      <c r="C249" s="49">
        <v>40399</v>
      </c>
      <c r="D249" s="50">
        <v>13</v>
      </c>
      <c r="E249" s="49">
        <v>38003.82</v>
      </c>
      <c r="F249" s="50" t="s">
        <v>55</v>
      </c>
      <c r="G249" s="51">
        <v>44630</v>
      </c>
      <c r="H249" s="52" t="s">
        <v>56</v>
      </c>
      <c r="I249" s="51">
        <v>44824</v>
      </c>
      <c r="J249" s="52">
        <f t="shared" si="98"/>
        <v>6.4666666666666668</v>
      </c>
      <c r="K249" s="53" t="s">
        <v>508</v>
      </c>
      <c r="L249" s="53">
        <v>54337.279999999999</v>
      </c>
      <c r="M249" s="54">
        <v>1016.97</v>
      </c>
      <c r="N249" s="54">
        <v>8255.57</v>
      </c>
      <c r="O249" s="54">
        <v>2842.59</v>
      </c>
      <c r="P249" s="54">
        <f t="shared" si="69"/>
        <v>0</v>
      </c>
      <c r="Q249" s="54">
        <f t="shared" si="70"/>
        <v>0</v>
      </c>
      <c r="R249" s="55">
        <f t="shared" si="71"/>
        <v>0</v>
      </c>
      <c r="S249" s="55">
        <f t="shared" si="72"/>
        <v>1</v>
      </c>
      <c r="T249" s="56"/>
      <c r="V249" s="57">
        <v>379.25</v>
      </c>
      <c r="W249" s="58"/>
      <c r="X249" s="58">
        <v>26.55</v>
      </c>
      <c r="Y249" s="58"/>
      <c r="Z249" s="58">
        <f>214.84+243.54+250.92</f>
        <v>709.3</v>
      </c>
      <c r="AA249" s="58">
        <v>1963.79</v>
      </c>
      <c r="AB249" s="58">
        <f t="shared" si="37"/>
        <v>3078.8900000000003</v>
      </c>
      <c r="AC249" s="58"/>
      <c r="AD249" s="59">
        <v>1.4999999999999999E-2</v>
      </c>
      <c r="AE249" s="60">
        <f>((E249*AD249)/365)*180</f>
        <v>281.12414794520544</v>
      </c>
      <c r="AF249" s="61"/>
      <c r="AG249" s="59"/>
      <c r="AH249" s="60">
        <f t="shared" si="99"/>
        <v>0</v>
      </c>
      <c r="AI249" s="62">
        <f t="shared" si="97"/>
        <v>0</v>
      </c>
      <c r="AJ249" s="62">
        <f t="shared" si="6"/>
        <v>281.12414794520544</v>
      </c>
      <c r="AK249" s="63">
        <f t="shared" si="40"/>
        <v>281.12414794520544</v>
      </c>
      <c r="AL249" s="64">
        <f t="shared" si="41"/>
        <v>1016.9741479452053</v>
      </c>
      <c r="AP249" s="65">
        <f t="shared" si="8"/>
        <v>1</v>
      </c>
      <c r="AQ249" s="16">
        <f t="shared" si="9"/>
        <v>1</v>
      </c>
      <c r="AR249" s="16">
        <f t="shared" si="10"/>
        <v>1</v>
      </c>
      <c r="AS249" s="66">
        <f t="shared" si="11"/>
        <v>11098.16</v>
      </c>
      <c r="AT249" s="67">
        <f t="shared" si="12"/>
        <v>38003.82</v>
      </c>
      <c r="AU249" s="68">
        <f t="shared" si="80"/>
        <v>6.4666666666666668</v>
      </c>
      <c r="AV249" s="19">
        <f t="shared" si="14"/>
        <v>5.5507945642063357E-3</v>
      </c>
      <c r="AW249" s="69">
        <f t="shared" si="15"/>
        <v>0</v>
      </c>
      <c r="AY249" s="65">
        <f t="shared" si="16"/>
        <v>0</v>
      </c>
      <c r="AZ249" s="16">
        <f t="shared" si="17"/>
        <v>1</v>
      </c>
      <c r="BA249" s="16">
        <f t="shared" si="18"/>
        <v>0</v>
      </c>
      <c r="BB249" s="70">
        <f t="shared" si="19"/>
        <v>0</v>
      </c>
      <c r="BC249" s="67">
        <f t="shared" si="20"/>
        <v>0</v>
      </c>
      <c r="BD249" s="71">
        <f t="shared" si="21"/>
        <v>0</v>
      </c>
      <c r="BE249" s="19">
        <f t="shared" si="22"/>
        <v>0</v>
      </c>
      <c r="BF249" s="69">
        <f t="shared" si="23"/>
        <v>0</v>
      </c>
      <c r="BH249" s="72">
        <f t="shared" si="24"/>
        <v>38003.82</v>
      </c>
      <c r="BI249" s="73">
        <f t="shared" si="25"/>
        <v>1</v>
      </c>
      <c r="BJ249" s="74">
        <f t="shared" si="26"/>
        <v>3.3786122745042544E-3</v>
      </c>
      <c r="BK249" s="75">
        <f t="shared" si="27"/>
        <v>0</v>
      </c>
      <c r="BM249" s="76">
        <f t="shared" si="28"/>
        <v>1</v>
      </c>
    </row>
    <row r="250" spans="1:65" ht="12.75" customHeight="1" x14ac:dyDescent="0.2">
      <c r="A250" s="47"/>
      <c r="B250" s="48" t="s">
        <v>509</v>
      </c>
      <c r="C250" s="49">
        <v>40000</v>
      </c>
      <c r="D250" s="50">
        <v>13</v>
      </c>
      <c r="E250" s="49">
        <v>32570.67</v>
      </c>
      <c r="F250" s="50" t="s">
        <v>55</v>
      </c>
      <c r="G250" s="51">
        <v>45290</v>
      </c>
      <c r="H250" s="52" t="s">
        <v>56</v>
      </c>
      <c r="I250" s="51">
        <v>45563</v>
      </c>
      <c r="J250" s="52">
        <f t="shared" si="98"/>
        <v>9.1</v>
      </c>
      <c r="K250" s="53" t="s">
        <v>510</v>
      </c>
      <c r="L250" s="53">
        <v>40000</v>
      </c>
      <c r="M250" s="54">
        <v>189.85999999999999</v>
      </c>
      <c r="N250" s="77">
        <v>12453.480000000001</v>
      </c>
      <c r="O250" s="54">
        <v>3547.2</v>
      </c>
      <c r="P250" s="54">
        <f t="shared" si="69"/>
        <v>0</v>
      </c>
      <c r="Q250" s="54">
        <f t="shared" si="70"/>
        <v>8761.2099999999991</v>
      </c>
      <c r="R250" s="55">
        <f t="shared" si="71"/>
        <v>0.26899078219760292</v>
      </c>
      <c r="S250" s="55">
        <f t="shared" si="72"/>
        <v>0.73100921780239703</v>
      </c>
      <c r="T250" s="56"/>
      <c r="V250" s="57"/>
      <c r="W250" s="58"/>
      <c r="X250" s="58"/>
      <c r="Y250" s="58"/>
      <c r="Z250" s="58"/>
      <c r="AA250" s="58"/>
      <c r="AB250" s="58"/>
      <c r="AC250" s="58"/>
      <c r="AD250" s="59"/>
      <c r="AE250" s="60"/>
      <c r="AF250" s="61"/>
      <c r="AG250" s="59"/>
      <c r="AH250" s="60"/>
      <c r="AI250" s="62"/>
      <c r="AJ250" s="62"/>
      <c r="AK250" s="63"/>
      <c r="AL250" s="64"/>
      <c r="AP250" s="65">
        <f t="shared" si="8"/>
        <v>1</v>
      </c>
      <c r="AQ250" s="16">
        <f t="shared" si="9"/>
        <v>1</v>
      </c>
      <c r="AR250" s="16">
        <f t="shared" si="10"/>
        <v>1</v>
      </c>
      <c r="AS250" s="66">
        <f t="shared" si="11"/>
        <v>16000.68</v>
      </c>
      <c r="AT250" s="67">
        <f t="shared" si="12"/>
        <v>32570.67</v>
      </c>
      <c r="AU250" s="68">
        <f t="shared" si="80"/>
        <v>9.1</v>
      </c>
      <c r="AV250" s="19">
        <f t="shared" si="14"/>
        <v>4.7572348776664655E-3</v>
      </c>
      <c r="AW250" s="69">
        <f t="shared" si="15"/>
        <v>1.2796523308412204E-3</v>
      </c>
      <c r="AY250" s="65">
        <f t="shared" si="16"/>
        <v>0</v>
      </c>
      <c r="AZ250" s="16">
        <f t="shared" si="17"/>
        <v>1</v>
      </c>
      <c r="BA250" s="16">
        <f t="shared" si="18"/>
        <v>0</v>
      </c>
      <c r="BB250" s="70">
        <f t="shared" si="19"/>
        <v>0</v>
      </c>
      <c r="BC250" s="67">
        <f t="shared" si="20"/>
        <v>0</v>
      </c>
      <c r="BD250" s="71">
        <f t="shared" si="21"/>
        <v>0</v>
      </c>
      <c r="BE250" s="19">
        <f t="shared" si="22"/>
        <v>0</v>
      </c>
      <c r="BF250" s="69">
        <f t="shared" si="23"/>
        <v>0</v>
      </c>
      <c r="BH250" s="72">
        <f t="shared" si="24"/>
        <v>32570.67</v>
      </c>
      <c r="BI250" s="73">
        <f t="shared" si="25"/>
        <v>1</v>
      </c>
      <c r="BJ250" s="74">
        <f t="shared" si="26"/>
        <v>2.8955948494342803E-3</v>
      </c>
      <c r="BK250" s="75">
        <f t="shared" si="27"/>
        <v>7.7888832347667734E-4</v>
      </c>
      <c r="BM250" s="76">
        <f t="shared" si="28"/>
        <v>1</v>
      </c>
    </row>
    <row r="251" spans="1:65" ht="12.75" customHeight="1" x14ac:dyDescent="0.2">
      <c r="A251" s="47"/>
      <c r="B251" s="48" t="s">
        <v>511</v>
      </c>
      <c r="C251" s="49">
        <v>27215.65</v>
      </c>
      <c r="D251" s="50">
        <v>13</v>
      </c>
      <c r="E251" s="49">
        <v>24328.93</v>
      </c>
      <c r="F251" s="50" t="s">
        <v>55</v>
      </c>
      <c r="G251" s="51">
        <v>44663</v>
      </c>
      <c r="H251" s="52" t="s">
        <v>56</v>
      </c>
      <c r="I251" s="51">
        <v>45014</v>
      </c>
      <c r="J251" s="52">
        <f t="shared" si="98"/>
        <v>11.7</v>
      </c>
      <c r="K251" s="53" t="s">
        <v>512</v>
      </c>
      <c r="L251" s="53">
        <v>45000</v>
      </c>
      <c r="M251" s="54">
        <v>1928.84</v>
      </c>
      <c r="N251" s="54">
        <v>5408.4</v>
      </c>
      <c r="O251" s="54">
        <v>377.66</v>
      </c>
      <c r="P251" s="54">
        <f t="shared" si="69"/>
        <v>0</v>
      </c>
      <c r="Q251" s="54">
        <f t="shared" si="70"/>
        <v>0</v>
      </c>
      <c r="R251" s="55">
        <f t="shared" si="71"/>
        <v>0</v>
      </c>
      <c r="S251" s="55">
        <f t="shared" si="72"/>
        <v>1</v>
      </c>
      <c r="T251" s="56"/>
      <c r="V251" s="57">
        <v>277.5</v>
      </c>
      <c r="W251" s="58">
        <f>65.12+178.17</f>
        <v>243.29</v>
      </c>
      <c r="X251" s="58">
        <v>19.43</v>
      </c>
      <c r="Y251" s="58">
        <v>171.46</v>
      </c>
      <c r="Z251" s="58">
        <f>101.1+159.9+93.6+56.11+49.29</f>
        <v>460.00000000000006</v>
      </c>
      <c r="AA251" s="58">
        <f>3475.85+1334.46</f>
        <v>4810.3099999999995</v>
      </c>
      <c r="AB251" s="58">
        <f t="shared" ref="AB251:AB269" si="100">AA251+Z251+Y251+X251+V251+W251</f>
        <v>5981.99</v>
      </c>
      <c r="AC251" s="58">
        <v>17816.63</v>
      </c>
      <c r="AD251" s="59">
        <v>6.7500000000000004E-2</v>
      </c>
      <c r="AE251" s="60">
        <f>((E251*AD251)/365)*180</f>
        <v>809.85342328767138</v>
      </c>
      <c r="AF251" s="61">
        <v>6512.3</v>
      </c>
      <c r="AG251" s="59">
        <v>7.0000000000000007E-2</v>
      </c>
      <c r="AH251" s="60">
        <f>((AF251*AG251)/365)*180</f>
        <v>224.80816438356166</v>
      </c>
      <c r="AI251" s="62">
        <f>AC251+AF251</f>
        <v>24328.93</v>
      </c>
      <c r="AJ251" s="62">
        <f t="shared" ref="AJ251:AJ269" si="101">AE251+AH251</f>
        <v>1034.6615876712331</v>
      </c>
      <c r="AK251" s="63">
        <f t="shared" ref="AK251:AK252" si="102">IF(AJ251&lt;AA251,AJ251,AA251)</f>
        <v>1034.6615876712331</v>
      </c>
      <c r="AL251" s="64">
        <f t="shared" ref="AL251:AL269" si="103">W251+X251+Y251+Z251+AK251</f>
        <v>1928.8415876712331</v>
      </c>
      <c r="AP251" s="65">
        <f t="shared" si="8"/>
        <v>1</v>
      </c>
      <c r="AQ251" s="16">
        <f t="shared" si="9"/>
        <v>1</v>
      </c>
      <c r="AR251" s="16">
        <f t="shared" si="10"/>
        <v>1</v>
      </c>
      <c r="AS251" s="66">
        <f t="shared" si="11"/>
        <v>5786.0599999999995</v>
      </c>
      <c r="AT251" s="67">
        <f t="shared" si="12"/>
        <v>24328.93</v>
      </c>
      <c r="AU251" s="68">
        <f t="shared" si="80"/>
        <v>11.7</v>
      </c>
      <c r="AV251" s="19">
        <f t="shared" si="14"/>
        <v>3.5534557420005795E-3</v>
      </c>
      <c r="AW251" s="69">
        <f t="shared" si="15"/>
        <v>0</v>
      </c>
      <c r="AY251" s="65">
        <f t="shared" si="16"/>
        <v>0</v>
      </c>
      <c r="AZ251" s="16">
        <f t="shared" si="17"/>
        <v>1</v>
      </c>
      <c r="BA251" s="16">
        <f t="shared" si="18"/>
        <v>0</v>
      </c>
      <c r="BB251" s="70">
        <f t="shared" si="19"/>
        <v>0</v>
      </c>
      <c r="BC251" s="67">
        <f t="shared" si="20"/>
        <v>0</v>
      </c>
      <c r="BD251" s="71">
        <f t="shared" si="21"/>
        <v>0</v>
      </c>
      <c r="BE251" s="19">
        <f t="shared" si="22"/>
        <v>0</v>
      </c>
      <c r="BF251" s="69">
        <f t="shared" si="23"/>
        <v>0</v>
      </c>
      <c r="BH251" s="72">
        <f t="shared" si="24"/>
        <v>24328.93</v>
      </c>
      <c r="BI251" s="73">
        <f t="shared" si="25"/>
        <v>1</v>
      </c>
      <c r="BJ251" s="74">
        <f t="shared" si="26"/>
        <v>2.162888402364678E-3</v>
      </c>
      <c r="BK251" s="75">
        <f t="shared" si="27"/>
        <v>0</v>
      </c>
      <c r="BM251" s="76">
        <f t="shared" si="28"/>
        <v>1</v>
      </c>
    </row>
    <row r="252" spans="1:65" ht="12.75" customHeight="1" x14ac:dyDescent="0.2">
      <c r="A252" s="47"/>
      <c r="B252" s="48" t="s">
        <v>513</v>
      </c>
      <c r="C252" s="49">
        <v>39600</v>
      </c>
      <c r="D252" s="50">
        <v>13</v>
      </c>
      <c r="E252" s="49">
        <v>30445.08</v>
      </c>
      <c r="F252" s="50" t="s">
        <v>55</v>
      </c>
      <c r="G252" s="51">
        <v>44635</v>
      </c>
      <c r="H252" s="52" t="s">
        <v>56</v>
      </c>
      <c r="I252" s="51">
        <v>45471</v>
      </c>
      <c r="J252" s="52">
        <f t="shared" si="98"/>
        <v>27.866666666666667</v>
      </c>
      <c r="K252" s="53" t="s">
        <v>514</v>
      </c>
      <c r="L252" s="53">
        <v>38000</v>
      </c>
      <c r="M252" s="54">
        <v>1435.25</v>
      </c>
      <c r="N252" s="54">
        <v>8989.2800000000007</v>
      </c>
      <c r="O252" s="54">
        <v>3930.91</v>
      </c>
      <c r="P252" s="54">
        <f t="shared" si="69"/>
        <v>0</v>
      </c>
      <c r="Q252" s="54">
        <f t="shared" si="70"/>
        <v>6800.5200000000023</v>
      </c>
      <c r="R252" s="55">
        <f t="shared" si="71"/>
        <v>0.22337008147129198</v>
      </c>
      <c r="S252" s="55">
        <f t="shared" si="72"/>
        <v>0.776629918528708</v>
      </c>
      <c r="T252" s="56"/>
      <c r="V252" s="57"/>
      <c r="W252" s="58"/>
      <c r="X252" s="58"/>
      <c r="Y252" s="58"/>
      <c r="Z252" s="58"/>
      <c r="AA252" s="58"/>
      <c r="AB252" s="58">
        <f t="shared" si="100"/>
        <v>0</v>
      </c>
      <c r="AC252" s="58"/>
      <c r="AD252" s="59"/>
      <c r="AE252" s="60"/>
      <c r="AF252" s="61"/>
      <c r="AG252" s="59"/>
      <c r="AH252" s="60"/>
      <c r="AI252" s="62"/>
      <c r="AJ252" s="62">
        <f t="shared" si="101"/>
        <v>0</v>
      </c>
      <c r="AK252" s="63">
        <f t="shared" si="102"/>
        <v>0</v>
      </c>
      <c r="AL252" s="64">
        <f t="shared" si="103"/>
        <v>0</v>
      </c>
      <c r="AP252" s="65">
        <f t="shared" si="8"/>
        <v>1</v>
      </c>
      <c r="AQ252" s="16">
        <f t="shared" si="9"/>
        <v>1</v>
      </c>
      <c r="AR252" s="16">
        <f t="shared" si="10"/>
        <v>1</v>
      </c>
      <c r="AS252" s="66">
        <f t="shared" si="11"/>
        <v>12920.19</v>
      </c>
      <c r="AT252" s="67">
        <f t="shared" si="12"/>
        <v>30445.08</v>
      </c>
      <c r="AU252" s="68">
        <f t="shared" si="80"/>
        <v>27.866666666666667</v>
      </c>
      <c r="AV252" s="19">
        <f t="shared" si="14"/>
        <v>4.4467736288306553E-3</v>
      </c>
      <c r="AW252" s="69">
        <f t="shared" si="15"/>
        <v>9.9327618775629616E-4</v>
      </c>
      <c r="AY252" s="65">
        <f t="shared" si="16"/>
        <v>0</v>
      </c>
      <c r="AZ252" s="16">
        <f t="shared" si="17"/>
        <v>1</v>
      </c>
      <c r="BA252" s="16">
        <f t="shared" si="18"/>
        <v>0</v>
      </c>
      <c r="BB252" s="70">
        <f t="shared" si="19"/>
        <v>0</v>
      </c>
      <c r="BC252" s="67">
        <f t="shared" si="20"/>
        <v>0</v>
      </c>
      <c r="BD252" s="71">
        <f t="shared" si="21"/>
        <v>0</v>
      </c>
      <c r="BE252" s="19">
        <f t="shared" si="22"/>
        <v>0</v>
      </c>
      <c r="BF252" s="69">
        <f t="shared" si="23"/>
        <v>0</v>
      </c>
      <c r="BH252" s="72">
        <f t="shared" si="24"/>
        <v>30445.08</v>
      </c>
      <c r="BI252" s="73">
        <f t="shared" si="25"/>
        <v>1</v>
      </c>
      <c r="BJ252" s="74">
        <f t="shared" si="26"/>
        <v>2.7066258335678886E-3</v>
      </c>
      <c r="BK252" s="75">
        <f t="shared" si="27"/>
        <v>6.045792329563628E-4</v>
      </c>
      <c r="BM252" s="76">
        <f t="shared" si="28"/>
        <v>1</v>
      </c>
    </row>
    <row r="253" spans="1:65" ht="12.75" customHeight="1" x14ac:dyDescent="0.2">
      <c r="A253" s="47"/>
      <c r="B253" s="48" t="s">
        <v>515</v>
      </c>
      <c r="C253" s="49">
        <v>17000</v>
      </c>
      <c r="D253" s="50">
        <v>12</v>
      </c>
      <c r="E253" s="49">
        <v>9504.9500000000007</v>
      </c>
      <c r="F253" s="50" t="s">
        <v>55</v>
      </c>
      <c r="G253" s="51">
        <v>44711</v>
      </c>
      <c r="H253" s="52" t="s">
        <v>56</v>
      </c>
      <c r="I253" s="51">
        <v>44925</v>
      </c>
      <c r="J253" s="52">
        <f t="shared" si="98"/>
        <v>7.1333333333333337</v>
      </c>
      <c r="K253" s="53" t="s">
        <v>516</v>
      </c>
      <c r="L253" s="53">
        <v>30000</v>
      </c>
      <c r="M253" s="54">
        <v>2301.6999999999998</v>
      </c>
      <c r="N253" s="54">
        <v>4130.26</v>
      </c>
      <c r="O253" s="54">
        <v>2724.63</v>
      </c>
      <c r="P253" s="54">
        <f t="shared" si="69"/>
        <v>0</v>
      </c>
      <c r="Q253" s="54">
        <f t="shared" si="70"/>
        <v>0</v>
      </c>
      <c r="R253" s="55">
        <f t="shared" si="71"/>
        <v>0</v>
      </c>
      <c r="S253" s="55">
        <f t="shared" si="72"/>
        <v>1</v>
      </c>
      <c r="T253" s="56"/>
      <c r="V253" s="57">
        <v>297</v>
      </c>
      <c r="W253" s="58"/>
      <c r="X253" s="58">
        <v>20.79</v>
      </c>
      <c r="Y253" s="58"/>
      <c r="Z253" s="58">
        <f>81.36+297+1902.55</f>
        <v>2280.91</v>
      </c>
      <c r="AA253" s="58">
        <v>1902.55</v>
      </c>
      <c r="AB253" s="58">
        <f t="shared" si="100"/>
        <v>4501.25</v>
      </c>
      <c r="AC253" s="58"/>
      <c r="AD253" s="59">
        <v>6.5000000000000002E-2</v>
      </c>
      <c r="AE253" s="60">
        <f t="shared" ref="AE253:AE258" si="104">((E253*AD253)/365)*180</f>
        <v>304.67921917808223</v>
      </c>
      <c r="AF253" s="61"/>
      <c r="AG253" s="59"/>
      <c r="AH253" s="60"/>
      <c r="AI253" s="62"/>
      <c r="AJ253" s="62">
        <f t="shared" si="101"/>
        <v>304.67921917808223</v>
      </c>
      <c r="AK253" s="63"/>
      <c r="AL253" s="64">
        <f t="shared" si="103"/>
        <v>2301.6999999999998</v>
      </c>
      <c r="AP253" s="65">
        <f t="shared" si="8"/>
        <v>1</v>
      </c>
      <c r="AQ253" s="16">
        <f t="shared" si="9"/>
        <v>1</v>
      </c>
      <c r="AR253" s="16">
        <f t="shared" si="10"/>
        <v>1</v>
      </c>
      <c r="AS253" s="66">
        <f t="shared" si="11"/>
        <v>6854.89</v>
      </c>
      <c r="AT253" s="67">
        <f t="shared" si="12"/>
        <v>9504.9500000000007</v>
      </c>
      <c r="AU253" s="68">
        <f t="shared" si="80"/>
        <v>7.1333333333333337</v>
      </c>
      <c r="AV253" s="19">
        <f t="shared" si="14"/>
        <v>1.3882821461909097E-3</v>
      </c>
      <c r="AW253" s="69">
        <f t="shared" si="15"/>
        <v>0</v>
      </c>
      <c r="AY253" s="65">
        <f t="shared" si="16"/>
        <v>0</v>
      </c>
      <c r="AZ253" s="16">
        <f t="shared" si="17"/>
        <v>1</v>
      </c>
      <c r="BA253" s="16">
        <f t="shared" si="18"/>
        <v>0</v>
      </c>
      <c r="BB253" s="70">
        <f t="shared" si="19"/>
        <v>0</v>
      </c>
      <c r="BC253" s="67">
        <f t="shared" si="20"/>
        <v>0</v>
      </c>
      <c r="BD253" s="71">
        <f t="shared" si="21"/>
        <v>0</v>
      </c>
      <c r="BE253" s="19">
        <f t="shared" si="22"/>
        <v>0</v>
      </c>
      <c r="BF253" s="69">
        <f t="shared" si="23"/>
        <v>0</v>
      </c>
      <c r="BH253" s="72">
        <f t="shared" si="24"/>
        <v>9504.9500000000007</v>
      </c>
      <c r="BI253" s="73">
        <f t="shared" si="25"/>
        <v>1</v>
      </c>
      <c r="BJ253" s="74">
        <f t="shared" si="26"/>
        <v>8.4500823176589137E-4</v>
      </c>
      <c r="BK253" s="75">
        <f t="shared" si="27"/>
        <v>0</v>
      </c>
      <c r="BM253" s="76">
        <f t="shared" si="28"/>
        <v>1</v>
      </c>
    </row>
    <row r="254" spans="1:65" ht="12.75" customHeight="1" x14ac:dyDescent="0.2">
      <c r="A254" s="47"/>
      <c r="B254" s="48" t="s">
        <v>517</v>
      </c>
      <c r="C254" s="49">
        <v>30350</v>
      </c>
      <c r="D254" s="50">
        <v>13</v>
      </c>
      <c r="E254" s="49">
        <v>40068.86</v>
      </c>
      <c r="F254" s="50" t="s">
        <v>55</v>
      </c>
      <c r="G254" s="51">
        <v>44702</v>
      </c>
      <c r="H254" s="52" t="s">
        <v>56</v>
      </c>
      <c r="I254" s="51">
        <v>44703</v>
      </c>
      <c r="J254" s="52">
        <f t="shared" si="98"/>
        <v>3.3333333333333333E-2</v>
      </c>
      <c r="K254" s="53" t="s">
        <v>518</v>
      </c>
      <c r="L254" s="53">
        <v>49500</v>
      </c>
      <c r="M254" s="54">
        <v>759.88</v>
      </c>
      <c r="N254" s="54">
        <v>7973</v>
      </c>
      <c r="O254" s="54">
        <v>1220</v>
      </c>
      <c r="P254" s="54">
        <f t="shared" si="69"/>
        <v>0</v>
      </c>
      <c r="Q254" s="54">
        <f t="shared" si="70"/>
        <v>521.73999999999978</v>
      </c>
      <c r="R254" s="55">
        <f t="shared" si="71"/>
        <v>1.3021084203543594E-2</v>
      </c>
      <c r="S254" s="55">
        <f t="shared" si="72"/>
        <v>0.98697891579645636</v>
      </c>
      <c r="T254" s="56"/>
      <c r="V254" s="57">
        <v>321.12</v>
      </c>
      <c r="W254" s="58"/>
      <c r="X254" s="58">
        <v>22.48</v>
      </c>
      <c r="Y254" s="58"/>
      <c r="Z254" s="58">
        <f>132.48+114.84+456.96</f>
        <v>704.28</v>
      </c>
      <c r="AA254" s="58">
        <v>203.51</v>
      </c>
      <c r="AB254" s="58">
        <f t="shared" si="100"/>
        <v>1251.3899999999999</v>
      </c>
      <c r="AC254" s="58"/>
      <c r="AD254" s="59">
        <v>2.5000000000000001E-3</v>
      </c>
      <c r="AE254" s="60">
        <f t="shared" si="104"/>
        <v>49.399964383561652</v>
      </c>
      <c r="AF254" s="61"/>
      <c r="AG254" s="59"/>
      <c r="AH254" s="60">
        <f t="shared" ref="AH254:AH258" si="105">((E254*AG254)/365)*180</f>
        <v>0</v>
      </c>
      <c r="AI254" s="62">
        <f t="shared" ref="AI254:AI259" si="106">AC254+AF254</f>
        <v>0</v>
      </c>
      <c r="AJ254" s="62">
        <f t="shared" si="101"/>
        <v>49.399964383561652</v>
      </c>
      <c r="AK254" s="63">
        <f t="shared" ref="AK254:AK266" si="107">IF(AJ254&lt;AA254,AJ254,AA254)</f>
        <v>49.399964383561652</v>
      </c>
      <c r="AL254" s="64">
        <f t="shared" si="103"/>
        <v>776.1599643835616</v>
      </c>
      <c r="AP254" s="65">
        <f t="shared" si="8"/>
        <v>1</v>
      </c>
      <c r="AQ254" s="16">
        <f t="shared" si="9"/>
        <v>1</v>
      </c>
      <c r="AR254" s="16">
        <f t="shared" si="10"/>
        <v>1</v>
      </c>
      <c r="AS254" s="66">
        <f t="shared" si="11"/>
        <v>9193</v>
      </c>
      <c r="AT254" s="67">
        <f t="shared" si="12"/>
        <v>40068.86</v>
      </c>
      <c r="AU254" s="68">
        <f t="shared" si="80"/>
        <v>3.3333333333333333E-2</v>
      </c>
      <c r="AV254" s="19">
        <f t="shared" si="14"/>
        <v>5.8524119491657599E-3</v>
      </c>
      <c r="AW254" s="69">
        <f t="shared" si="15"/>
        <v>7.6204748783912049E-5</v>
      </c>
      <c r="AY254" s="65">
        <f t="shared" si="16"/>
        <v>0</v>
      </c>
      <c r="AZ254" s="16">
        <f t="shared" si="17"/>
        <v>1</v>
      </c>
      <c r="BA254" s="16">
        <f t="shared" si="18"/>
        <v>0</v>
      </c>
      <c r="BB254" s="70">
        <f t="shared" si="19"/>
        <v>0</v>
      </c>
      <c r="BC254" s="67">
        <f t="shared" si="20"/>
        <v>0</v>
      </c>
      <c r="BD254" s="71">
        <f t="shared" si="21"/>
        <v>0</v>
      </c>
      <c r="BE254" s="19">
        <f t="shared" si="22"/>
        <v>0</v>
      </c>
      <c r="BF254" s="69">
        <f t="shared" si="23"/>
        <v>0</v>
      </c>
      <c r="BH254" s="72">
        <f t="shared" si="24"/>
        <v>40068.86</v>
      </c>
      <c r="BI254" s="73">
        <f t="shared" si="25"/>
        <v>1</v>
      </c>
      <c r="BJ254" s="74">
        <f t="shared" si="26"/>
        <v>3.5621982795780147E-3</v>
      </c>
      <c r="BK254" s="75">
        <f t="shared" si="27"/>
        <v>4.6383683748103458E-5</v>
      </c>
      <c r="BM254" s="76">
        <f t="shared" si="28"/>
        <v>1</v>
      </c>
    </row>
    <row r="255" spans="1:65" ht="12.75" customHeight="1" x14ac:dyDescent="0.2">
      <c r="A255" s="47"/>
      <c r="B255" s="48" t="s">
        <v>519</v>
      </c>
      <c r="C255" s="49">
        <v>41926.5</v>
      </c>
      <c r="D255" s="50">
        <v>13</v>
      </c>
      <c r="E255" s="49">
        <v>36854.43</v>
      </c>
      <c r="F255" s="50" t="s">
        <v>55</v>
      </c>
      <c r="G255" s="51">
        <v>44690</v>
      </c>
      <c r="H255" s="52" t="s">
        <v>56</v>
      </c>
      <c r="I255" s="51">
        <v>44783</v>
      </c>
      <c r="J255" s="52">
        <f t="shared" si="98"/>
        <v>3.1</v>
      </c>
      <c r="K255" s="53" t="s">
        <v>520</v>
      </c>
      <c r="L255" s="53">
        <v>51000</v>
      </c>
      <c r="M255" s="54">
        <v>710.15</v>
      </c>
      <c r="N255" s="54">
        <v>6245.5599999999995</v>
      </c>
      <c r="O255" s="54">
        <v>2000</v>
      </c>
      <c r="P255" s="54">
        <f t="shared" si="69"/>
        <v>0</v>
      </c>
      <c r="Q255" s="54">
        <f t="shared" si="70"/>
        <v>0</v>
      </c>
      <c r="R255" s="55">
        <f t="shared" si="71"/>
        <v>0</v>
      </c>
      <c r="S255" s="55">
        <f t="shared" si="72"/>
        <v>1</v>
      </c>
      <c r="T255" s="56"/>
      <c r="V255" s="57">
        <v>360</v>
      </c>
      <c r="W255" s="58"/>
      <c r="X255" s="58">
        <v>50.17</v>
      </c>
      <c r="Y255" s="58"/>
      <c r="Z255" s="58">
        <f>202.68+184.68</f>
        <v>387.36</v>
      </c>
      <c r="AA255" s="58">
        <v>1638.76</v>
      </c>
      <c r="AB255" s="58">
        <f t="shared" si="100"/>
        <v>2436.29</v>
      </c>
      <c r="AC255" s="58"/>
      <c r="AD255" s="59">
        <v>1.4999999999999999E-2</v>
      </c>
      <c r="AE255" s="60">
        <f t="shared" si="104"/>
        <v>272.62181095890412</v>
      </c>
      <c r="AF255" s="61"/>
      <c r="AG255" s="59"/>
      <c r="AH255" s="60">
        <f t="shared" si="105"/>
        <v>0</v>
      </c>
      <c r="AI255" s="62">
        <f t="shared" si="106"/>
        <v>0</v>
      </c>
      <c r="AJ255" s="62">
        <f t="shared" si="101"/>
        <v>272.62181095890412</v>
      </c>
      <c r="AK255" s="63">
        <f t="shared" si="107"/>
        <v>272.62181095890412</v>
      </c>
      <c r="AL255" s="64">
        <f t="shared" si="103"/>
        <v>710.15181095890421</v>
      </c>
      <c r="AP255" s="65">
        <f t="shared" si="8"/>
        <v>1</v>
      </c>
      <c r="AQ255" s="16">
        <f t="shared" si="9"/>
        <v>1</v>
      </c>
      <c r="AR255" s="16">
        <f t="shared" si="10"/>
        <v>1</v>
      </c>
      <c r="AS255" s="66">
        <f t="shared" si="11"/>
        <v>8245.56</v>
      </c>
      <c r="AT255" s="67">
        <f t="shared" si="12"/>
        <v>36854.43</v>
      </c>
      <c r="AU255" s="68">
        <f t="shared" si="80"/>
        <v>3.1</v>
      </c>
      <c r="AV255" s="19">
        <f t="shared" si="14"/>
        <v>5.382915972944902E-3</v>
      </c>
      <c r="AW255" s="69">
        <f t="shared" si="15"/>
        <v>0</v>
      </c>
      <c r="AY255" s="65">
        <f t="shared" si="16"/>
        <v>0</v>
      </c>
      <c r="AZ255" s="16">
        <f t="shared" si="17"/>
        <v>1</v>
      </c>
      <c r="BA255" s="16">
        <f t="shared" si="18"/>
        <v>0</v>
      </c>
      <c r="BB255" s="70">
        <f t="shared" si="19"/>
        <v>0</v>
      </c>
      <c r="BC255" s="67">
        <f t="shared" si="20"/>
        <v>0</v>
      </c>
      <c r="BD255" s="71">
        <f t="shared" si="21"/>
        <v>0</v>
      </c>
      <c r="BE255" s="19">
        <f t="shared" si="22"/>
        <v>0</v>
      </c>
      <c r="BF255" s="69">
        <f t="shared" si="23"/>
        <v>0</v>
      </c>
      <c r="BH255" s="72">
        <f t="shared" si="24"/>
        <v>36854.43</v>
      </c>
      <c r="BI255" s="73">
        <f t="shared" si="25"/>
        <v>1</v>
      </c>
      <c r="BJ255" s="74">
        <f t="shared" si="26"/>
        <v>3.2764293054713405E-3</v>
      </c>
      <c r="BK255" s="75">
        <f t="shared" si="27"/>
        <v>0</v>
      </c>
      <c r="BM255" s="76">
        <f t="shared" si="28"/>
        <v>1</v>
      </c>
    </row>
    <row r="256" spans="1:65" ht="12.75" customHeight="1" x14ac:dyDescent="0.2">
      <c r="A256" s="47"/>
      <c r="B256" s="48" t="s">
        <v>521</v>
      </c>
      <c r="C256" s="49">
        <v>58604.800000000003</v>
      </c>
      <c r="D256" s="50">
        <v>13</v>
      </c>
      <c r="E256" s="49">
        <v>56297.63</v>
      </c>
      <c r="F256" s="50" t="s">
        <v>55</v>
      </c>
      <c r="G256" s="51">
        <v>44729</v>
      </c>
      <c r="H256" s="52" t="s">
        <v>56</v>
      </c>
      <c r="I256" s="51">
        <v>45225</v>
      </c>
      <c r="J256" s="52">
        <f t="shared" si="98"/>
        <v>16.533333333333335</v>
      </c>
      <c r="K256" s="53" t="s">
        <v>522</v>
      </c>
      <c r="L256" s="53">
        <v>65000</v>
      </c>
      <c r="M256" s="54">
        <v>1024.1099999999999</v>
      </c>
      <c r="N256" s="54">
        <v>4420.3200000000006</v>
      </c>
      <c r="O256" s="54">
        <v>3478.68</v>
      </c>
      <c r="P256" s="54">
        <f t="shared" si="69"/>
        <v>0</v>
      </c>
      <c r="Q256" s="54">
        <f t="shared" si="70"/>
        <v>220.73999999999751</v>
      </c>
      <c r="R256" s="55">
        <f t="shared" si="71"/>
        <v>3.9209465833641224E-3</v>
      </c>
      <c r="S256" s="55">
        <f t="shared" si="72"/>
        <v>0.99607905341663583</v>
      </c>
      <c r="T256" s="56"/>
      <c r="V256" s="57">
        <v>296</v>
      </c>
      <c r="W256" s="58"/>
      <c r="X256" s="58">
        <v>20.72</v>
      </c>
      <c r="Y256" s="58"/>
      <c r="Z256" s="58">
        <f>196.8+253.44+275.52</f>
        <v>725.76</v>
      </c>
      <c r="AA256" s="58">
        <f>1648.01</f>
        <v>1648.01</v>
      </c>
      <c r="AB256" s="58">
        <f t="shared" si="100"/>
        <v>2690.49</v>
      </c>
      <c r="AC256" s="58">
        <v>56297.63</v>
      </c>
      <c r="AD256" s="59">
        <v>0.01</v>
      </c>
      <c r="AE256" s="60">
        <f t="shared" si="104"/>
        <v>277.63214794520547</v>
      </c>
      <c r="AF256" s="61"/>
      <c r="AG256" s="59"/>
      <c r="AH256" s="60">
        <f t="shared" si="105"/>
        <v>0</v>
      </c>
      <c r="AI256" s="62">
        <f t="shared" si="106"/>
        <v>56297.63</v>
      </c>
      <c r="AJ256" s="62">
        <f t="shared" si="101"/>
        <v>277.63214794520547</v>
      </c>
      <c r="AK256" s="63">
        <f t="shared" si="107"/>
        <v>277.63214794520547</v>
      </c>
      <c r="AL256" s="64">
        <f t="shared" si="103"/>
        <v>1024.1121479452054</v>
      </c>
      <c r="AP256" s="65">
        <f t="shared" si="8"/>
        <v>1</v>
      </c>
      <c r="AQ256" s="16">
        <f t="shared" si="9"/>
        <v>1</v>
      </c>
      <c r="AR256" s="16">
        <f t="shared" si="10"/>
        <v>1</v>
      </c>
      <c r="AS256" s="66">
        <f t="shared" si="11"/>
        <v>7899</v>
      </c>
      <c r="AT256" s="67">
        <f t="shared" si="12"/>
        <v>56297.63</v>
      </c>
      <c r="AU256" s="68">
        <f t="shared" si="80"/>
        <v>16.533333333333335</v>
      </c>
      <c r="AV256" s="19">
        <f t="shared" si="14"/>
        <v>8.2227675686733469E-3</v>
      </c>
      <c r="AW256" s="69">
        <f t="shared" si="15"/>
        <v>3.2241032404187073E-5</v>
      </c>
      <c r="AY256" s="65">
        <f t="shared" si="16"/>
        <v>0</v>
      </c>
      <c r="AZ256" s="16">
        <f t="shared" si="17"/>
        <v>1</v>
      </c>
      <c r="BA256" s="16">
        <f t="shared" si="18"/>
        <v>0</v>
      </c>
      <c r="BB256" s="70">
        <f t="shared" si="19"/>
        <v>0</v>
      </c>
      <c r="BC256" s="67">
        <f t="shared" si="20"/>
        <v>0</v>
      </c>
      <c r="BD256" s="71">
        <f t="shared" si="21"/>
        <v>0</v>
      </c>
      <c r="BE256" s="19">
        <f t="shared" si="22"/>
        <v>0</v>
      </c>
      <c r="BF256" s="69">
        <f t="shared" si="23"/>
        <v>0</v>
      </c>
      <c r="BH256" s="72">
        <f t="shared" si="24"/>
        <v>56297.63</v>
      </c>
      <c r="BI256" s="73">
        <f t="shared" si="25"/>
        <v>1</v>
      </c>
      <c r="BJ256" s="74">
        <f t="shared" si="26"/>
        <v>5.0049669676232268E-3</v>
      </c>
      <c r="BK256" s="75">
        <f t="shared" si="27"/>
        <v>1.9624208131552585E-5</v>
      </c>
      <c r="BM256" s="76">
        <f t="shared" si="28"/>
        <v>1</v>
      </c>
    </row>
    <row r="257" spans="1:65" ht="12.75" customHeight="1" x14ac:dyDescent="0.2">
      <c r="A257" s="47"/>
      <c r="B257" s="48" t="s">
        <v>523</v>
      </c>
      <c r="C257" s="49">
        <v>39995</v>
      </c>
      <c r="D257" s="50">
        <v>13</v>
      </c>
      <c r="E257" s="49">
        <v>33252.46</v>
      </c>
      <c r="F257" s="50" t="s">
        <v>55</v>
      </c>
      <c r="G257" s="51">
        <v>44764</v>
      </c>
      <c r="H257" s="52" t="s">
        <v>56</v>
      </c>
      <c r="I257" s="51">
        <v>44910</v>
      </c>
      <c r="J257" s="52">
        <f t="shared" si="98"/>
        <v>4.8666666666666663</v>
      </c>
      <c r="K257" s="53" t="s">
        <v>524</v>
      </c>
      <c r="L257" s="53">
        <v>38500</v>
      </c>
      <c r="M257" s="54">
        <v>37.21</v>
      </c>
      <c r="N257" s="54">
        <v>10435.34</v>
      </c>
      <c r="O257" s="54">
        <v>3941.05</v>
      </c>
      <c r="P257" s="54">
        <f t="shared" si="69"/>
        <v>0</v>
      </c>
      <c r="Q257" s="54">
        <f t="shared" si="70"/>
        <v>9166.06</v>
      </c>
      <c r="R257" s="55">
        <f t="shared" si="71"/>
        <v>0.2756505834455556</v>
      </c>
      <c r="S257" s="55">
        <f t="shared" si="72"/>
        <v>0.7243494165544444</v>
      </c>
      <c r="T257" s="56"/>
      <c r="V257" s="57">
        <v>9.25</v>
      </c>
      <c r="W257" s="58"/>
      <c r="X257" s="58">
        <v>0.65</v>
      </c>
      <c r="Y257" s="58"/>
      <c r="Z257" s="58">
        <f>4.2+4.08+5.05</f>
        <v>13.330000000000002</v>
      </c>
      <c r="AA257" s="58">
        <v>23.23</v>
      </c>
      <c r="AB257" s="58">
        <f t="shared" si="100"/>
        <v>46.46</v>
      </c>
      <c r="AC257" s="58"/>
      <c r="AD257" s="59">
        <v>5.0000000000000001E-3</v>
      </c>
      <c r="AE257" s="60">
        <f t="shared" si="104"/>
        <v>81.992367123287679</v>
      </c>
      <c r="AF257" s="61"/>
      <c r="AG257" s="59"/>
      <c r="AH257" s="60">
        <f t="shared" si="105"/>
        <v>0</v>
      </c>
      <c r="AI257" s="62">
        <f t="shared" si="106"/>
        <v>0</v>
      </c>
      <c r="AJ257" s="62">
        <f t="shared" si="101"/>
        <v>81.992367123287679</v>
      </c>
      <c r="AK257" s="63">
        <f t="shared" si="107"/>
        <v>23.23</v>
      </c>
      <c r="AL257" s="64">
        <f t="shared" si="103"/>
        <v>37.21</v>
      </c>
      <c r="AP257" s="65">
        <f t="shared" si="8"/>
        <v>1</v>
      </c>
      <c r="AQ257" s="16">
        <f t="shared" si="9"/>
        <v>1</v>
      </c>
      <c r="AR257" s="16">
        <f t="shared" si="10"/>
        <v>1</v>
      </c>
      <c r="AS257" s="66">
        <f t="shared" si="11"/>
        <v>14376.39</v>
      </c>
      <c r="AT257" s="67">
        <f t="shared" si="12"/>
        <v>33252.46</v>
      </c>
      <c r="AU257" s="68">
        <f t="shared" si="80"/>
        <v>4.8666666666666663</v>
      </c>
      <c r="AV257" s="19">
        <f t="shared" si="14"/>
        <v>4.8568163467380019E-3</v>
      </c>
      <c r="AW257" s="69">
        <f t="shared" si="15"/>
        <v>1.338784259666242E-3</v>
      </c>
      <c r="AY257" s="65">
        <f t="shared" si="16"/>
        <v>0</v>
      </c>
      <c r="AZ257" s="16">
        <f t="shared" si="17"/>
        <v>1</v>
      </c>
      <c r="BA257" s="16">
        <f t="shared" si="18"/>
        <v>0</v>
      </c>
      <c r="BB257" s="70">
        <f t="shared" si="19"/>
        <v>0</v>
      </c>
      <c r="BC257" s="67">
        <f t="shared" si="20"/>
        <v>0</v>
      </c>
      <c r="BD257" s="71">
        <f t="shared" si="21"/>
        <v>0</v>
      </c>
      <c r="BE257" s="19">
        <f t="shared" si="22"/>
        <v>0</v>
      </c>
      <c r="BF257" s="69">
        <f t="shared" si="23"/>
        <v>0</v>
      </c>
      <c r="BH257" s="72">
        <f t="shared" si="24"/>
        <v>33252.46</v>
      </c>
      <c r="BI257" s="73">
        <f t="shared" si="25"/>
        <v>1</v>
      </c>
      <c r="BJ257" s="74">
        <f t="shared" si="26"/>
        <v>2.9562072842535762E-3</v>
      </c>
      <c r="BK257" s="75">
        <f t="shared" si="27"/>
        <v>8.148802626904997E-4</v>
      </c>
      <c r="BM257" s="76">
        <f t="shared" si="28"/>
        <v>1</v>
      </c>
    </row>
    <row r="258" spans="1:65" ht="12.75" customHeight="1" x14ac:dyDescent="0.2">
      <c r="A258" s="47"/>
      <c r="B258" s="48" t="s">
        <v>525</v>
      </c>
      <c r="C258" s="49">
        <v>26000</v>
      </c>
      <c r="D258" s="50">
        <v>13</v>
      </c>
      <c r="E258" s="49">
        <v>17241.87</v>
      </c>
      <c r="F258" s="50" t="s">
        <v>55</v>
      </c>
      <c r="G258" s="51">
        <v>44739</v>
      </c>
      <c r="H258" s="52" t="s">
        <v>56</v>
      </c>
      <c r="I258" s="51">
        <v>45008</v>
      </c>
      <c r="J258" s="52">
        <f t="shared" si="98"/>
        <v>8.9666666666666668</v>
      </c>
      <c r="K258" s="53" t="s">
        <v>526</v>
      </c>
      <c r="L258" s="53">
        <v>42500</v>
      </c>
      <c r="M258" s="54">
        <v>1933.82</v>
      </c>
      <c r="N258" s="54">
        <v>3514.76</v>
      </c>
      <c r="O258" s="54">
        <v>3686.3</v>
      </c>
      <c r="P258" s="54">
        <f t="shared" si="69"/>
        <v>0</v>
      </c>
      <c r="Q258" s="54">
        <f t="shared" si="70"/>
        <v>0</v>
      </c>
      <c r="R258" s="55">
        <f t="shared" si="71"/>
        <v>0</v>
      </c>
      <c r="S258" s="55">
        <f t="shared" si="72"/>
        <v>1</v>
      </c>
      <c r="T258" s="56"/>
      <c r="V258" s="57">
        <v>305.25</v>
      </c>
      <c r="W258" s="58">
        <f>59.07+77.17</f>
        <v>136.24</v>
      </c>
      <c r="X258" s="58">
        <v>21.37</v>
      </c>
      <c r="Y258" s="58">
        <v>185.77</v>
      </c>
      <c r="Z258" s="58">
        <f>128.02+162.06+93.61+46.25+55.13</f>
        <v>485.07000000000005</v>
      </c>
      <c r="AA258" s="58">
        <v>2275.56</v>
      </c>
      <c r="AB258" s="58">
        <f t="shared" si="100"/>
        <v>3409.26</v>
      </c>
      <c r="AC258" s="58">
        <v>11362.41</v>
      </c>
      <c r="AD258" s="59">
        <v>0.06</v>
      </c>
      <c r="AE258" s="60">
        <f t="shared" si="104"/>
        <v>510.17039999999997</v>
      </c>
      <c r="AF258" s="61">
        <v>5879.46</v>
      </c>
      <c r="AG258" s="59">
        <v>7.0000000000000007E-2</v>
      </c>
      <c r="AH258" s="60">
        <f t="shared" si="105"/>
        <v>595.19880000000012</v>
      </c>
      <c r="AI258" s="62">
        <f t="shared" si="106"/>
        <v>17241.87</v>
      </c>
      <c r="AJ258" s="62">
        <f t="shared" si="101"/>
        <v>1105.3692000000001</v>
      </c>
      <c r="AK258" s="63">
        <f t="shared" si="107"/>
        <v>1105.3692000000001</v>
      </c>
      <c r="AL258" s="64">
        <f t="shared" si="103"/>
        <v>1933.8192000000001</v>
      </c>
      <c r="AP258" s="65">
        <f t="shared" si="8"/>
        <v>1</v>
      </c>
      <c r="AQ258" s="16">
        <f t="shared" si="9"/>
        <v>1</v>
      </c>
      <c r="AR258" s="16">
        <f t="shared" si="10"/>
        <v>1</v>
      </c>
      <c r="AS258" s="66">
        <f t="shared" si="11"/>
        <v>7201.06</v>
      </c>
      <c r="AT258" s="67">
        <f t="shared" si="12"/>
        <v>17241.87</v>
      </c>
      <c r="AU258" s="68">
        <f t="shared" si="80"/>
        <v>8.9666666666666668</v>
      </c>
      <c r="AV258" s="19">
        <f t="shared" si="14"/>
        <v>2.5183278489570864E-3</v>
      </c>
      <c r="AW258" s="69">
        <f t="shared" si="15"/>
        <v>0</v>
      </c>
      <c r="AY258" s="65">
        <f t="shared" si="16"/>
        <v>0</v>
      </c>
      <c r="AZ258" s="16">
        <f t="shared" si="17"/>
        <v>1</v>
      </c>
      <c r="BA258" s="16">
        <f t="shared" si="18"/>
        <v>0</v>
      </c>
      <c r="BB258" s="70">
        <f t="shared" si="19"/>
        <v>0</v>
      </c>
      <c r="BC258" s="67">
        <f t="shared" si="20"/>
        <v>0</v>
      </c>
      <c r="BD258" s="71">
        <f t="shared" si="21"/>
        <v>0</v>
      </c>
      <c r="BE258" s="19">
        <f t="shared" si="22"/>
        <v>0</v>
      </c>
      <c r="BF258" s="69">
        <f t="shared" si="23"/>
        <v>0</v>
      </c>
      <c r="BH258" s="72">
        <f t="shared" si="24"/>
        <v>17241.87</v>
      </c>
      <c r="BI258" s="73">
        <f t="shared" si="25"/>
        <v>1</v>
      </c>
      <c r="BJ258" s="74">
        <f t="shared" si="26"/>
        <v>1.5328352154443071E-3</v>
      </c>
      <c r="BK258" s="75">
        <f t="shared" si="27"/>
        <v>0</v>
      </c>
      <c r="BM258" s="76">
        <f t="shared" si="28"/>
        <v>1</v>
      </c>
    </row>
    <row r="259" spans="1:65" ht="12.75" customHeight="1" x14ac:dyDescent="0.2">
      <c r="A259" s="47"/>
      <c r="B259" s="48" t="s">
        <v>527</v>
      </c>
      <c r="C259" s="49">
        <v>81000</v>
      </c>
      <c r="D259" s="50">
        <v>13</v>
      </c>
      <c r="E259" s="49">
        <v>71799.98</v>
      </c>
      <c r="F259" s="50" t="s">
        <v>55</v>
      </c>
      <c r="G259" s="51">
        <v>44774</v>
      </c>
      <c r="H259" s="52" t="s">
        <v>56</v>
      </c>
      <c r="I259" s="51">
        <v>44862</v>
      </c>
      <c r="J259" s="52">
        <f t="shared" si="98"/>
        <v>2.9333333333333331</v>
      </c>
      <c r="K259" s="53" t="s">
        <v>528</v>
      </c>
      <c r="L259" s="53">
        <v>83000</v>
      </c>
      <c r="M259" s="54">
        <v>2439.98</v>
      </c>
      <c r="N259" s="54">
        <v>5011.04</v>
      </c>
      <c r="O259" s="54">
        <v>5067.34</v>
      </c>
      <c r="P259" s="54">
        <f t="shared" si="69"/>
        <v>0</v>
      </c>
      <c r="Q259" s="54">
        <f t="shared" si="70"/>
        <v>1318.3399999999956</v>
      </c>
      <c r="R259" s="55">
        <f t="shared" si="71"/>
        <v>1.8361286451611766E-2</v>
      </c>
      <c r="S259" s="55">
        <f t="shared" si="72"/>
        <v>0.98163871354838828</v>
      </c>
      <c r="T259" s="56"/>
      <c r="V259" s="57">
        <v>277.5</v>
      </c>
      <c r="W259" s="58"/>
      <c r="X259" s="58">
        <v>19.43</v>
      </c>
      <c r="Y259" s="58"/>
      <c r="Z259" s="58">
        <f>255.3+96.9+120.9</f>
        <v>473.1</v>
      </c>
      <c r="AA259" s="58">
        <v>2296.0100000000002</v>
      </c>
      <c r="AB259" s="58">
        <f t="shared" si="100"/>
        <v>3066.04</v>
      </c>
      <c r="AC259" s="58">
        <v>15882.74</v>
      </c>
      <c r="AD259" s="59">
        <v>5.5E-2</v>
      </c>
      <c r="AE259" s="60">
        <f t="shared" ref="AE259:AE260" si="108">((AC259*AD259)/365)*180</f>
        <v>430.79212602739733</v>
      </c>
      <c r="AF259" s="61">
        <v>55917.24</v>
      </c>
      <c r="AG259" s="59">
        <v>5.5E-2</v>
      </c>
      <c r="AH259" s="60">
        <f t="shared" ref="AH259:AH260" si="109">((AF259*AG259)/365)*180</f>
        <v>1516.6593863013698</v>
      </c>
      <c r="AI259" s="62">
        <f t="shared" si="106"/>
        <v>71799.98</v>
      </c>
      <c r="AJ259" s="62">
        <f t="shared" si="101"/>
        <v>1947.451512328767</v>
      </c>
      <c r="AK259" s="63">
        <f t="shared" si="107"/>
        <v>1947.451512328767</v>
      </c>
      <c r="AL259" s="64">
        <f t="shared" si="103"/>
        <v>2439.9815123287672</v>
      </c>
      <c r="AP259" s="65">
        <f t="shared" si="8"/>
        <v>1</v>
      </c>
      <c r="AQ259" s="16">
        <f t="shared" si="9"/>
        <v>1</v>
      </c>
      <c r="AR259" s="16">
        <f t="shared" si="10"/>
        <v>1</v>
      </c>
      <c r="AS259" s="66">
        <f t="shared" si="11"/>
        <v>10078.380000000001</v>
      </c>
      <c r="AT259" s="67">
        <f t="shared" si="12"/>
        <v>71799.98</v>
      </c>
      <c r="AU259" s="68">
        <f t="shared" si="80"/>
        <v>2.9333333333333331</v>
      </c>
      <c r="AV259" s="19">
        <f t="shared" si="14"/>
        <v>1.048702311225881E-2</v>
      </c>
      <c r="AW259" s="69">
        <f t="shared" si="15"/>
        <v>1.9255523538885713E-4</v>
      </c>
      <c r="AY259" s="65">
        <f t="shared" si="16"/>
        <v>0</v>
      </c>
      <c r="AZ259" s="16">
        <f t="shared" si="17"/>
        <v>1</v>
      </c>
      <c r="BA259" s="16">
        <f t="shared" si="18"/>
        <v>0</v>
      </c>
      <c r="BB259" s="70">
        <f t="shared" si="19"/>
        <v>0</v>
      </c>
      <c r="BC259" s="67">
        <f t="shared" si="20"/>
        <v>0</v>
      </c>
      <c r="BD259" s="71">
        <f t="shared" si="21"/>
        <v>0</v>
      </c>
      <c r="BE259" s="19">
        <f t="shared" si="22"/>
        <v>0</v>
      </c>
      <c r="BF259" s="69">
        <f t="shared" si="23"/>
        <v>0</v>
      </c>
      <c r="BH259" s="72">
        <f t="shared" si="24"/>
        <v>71799.98</v>
      </c>
      <c r="BI259" s="73">
        <f t="shared" si="25"/>
        <v>1</v>
      </c>
      <c r="BJ259" s="74">
        <f t="shared" si="26"/>
        <v>6.383155528501082E-3</v>
      </c>
      <c r="BK259" s="75">
        <f t="shared" si="27"/>
        <v>1.1720294712399766E-4</v>
      </c>
      <c r="BM259" s="76">
        <f t="shared" si="28"/>
        <v>1</v>
      </c>
    </row>
    <row r="260" spans="1:65" ht="12.75" customHeight="1" x14ac:dyDescent="0.2">
      <c r="A260" s="47"/>
      <c r="B260" s="48" t="s">
        <v>529</v>
      </c>
      <c r="C260" s="49">
        <v>100000</v>
      </c>
      <c r="D260" s="50">
        <v>13</v>
      </c>
      <c r="E260" s="49">
        <v>81520.59</v>
      </c>
      <c r="F260" s="50" t="s">
        <v>55</v>
      </c>
      <c r="G260" s="51">
        <v>44769</v>
      </c>
      <c r="H260" s="52" t="s">
        <v>56</v>
      </c>
      <c r="I260" s="51">
        <v>45503</v>
      </c>
      <c r="J260" s="52">
        <f t="shared" si="98"/>
        <v>24.466666666666665</v>
      </c>
      <c r="K260" s="53" t="s">
        <v>530</v>
      </c>
      <c r="L260" s="53">
        <v>110000</v>
      </c>
      <c r="M260" s="54">
        <v>2815.61</v>
      </c>
      <c r="N260" s="54">
        <v>19112.740000000002</v>
      </c>
      <c r="O260" s="54">
        <v>1800</v>
      </c>
      <c r="P260" s="54">
        <f t="shared" si="69"/>
        <v>0</v>
      </c>
      <c r="Q260" s="54">
        <f t="shared" si="70"/>
        <v>0</v>
      </c>
      <c r="R260" s="55">
        <f t="shared" si="71"/>
        <v>0</v>
      </c>
      <c r="S260" s="55">
        <f t="shared" si="72"/>
        <v>1</v>
      </c>
      <c r="T260" s="56"/>
      <c r="V260" s="57">
        <v>384</v>
      </c>
      <c r="W260" s="58"/>
      <c r="X260" s="58">
        <v>26.88</v>
      </c>
      <c r="Y260" s="58"/>
      <c r="Z260" s="58">
        <f>425.6+428.8+395.2+384</f>
        <v>1633.6000000000001</v>
      </c>
      <c r="AA260" s="58">
        <v>6376.14</v>
      </c>
      <c r="AB260" s="58">
        <f t="shared" si="100"/>
        <v>8420.6200000000008</v>
      </c>
      <c r="AC260" s="58">
        <v>19477.36</v>
      </c>
      <c r="AD260" s="59">
        <v>0.04</v>
      </c>
      <c r="AE260" s="60">
        <f t="shared" si="108"/>
        <v>384.21093698630142</v>
      </c>
      <c r="AF260" s="61">
        <v>22332.09</v>
      </c>
      <c r="AG260" s="59">
        <v>7.0000000000000007E-2</v>
      </c>
      <c r="AH260" s="60">
        <f t="shared" si="109"/>
        <v>770.915983561644</v>
      </c>
      <c r="AI260" s="62">
        <v>39711.14</v>
      </c>
      <c r="AJ260" s="62">
        <f t="shared" si="101"/>
        <v>1155.1269205479455</v>
      </c>
      <c r="AK260" s="63">
        <f t="shared" si="107"/>
        <v>1155.1269205479455</v>
      </c>
      <c r="AL260" s="64">
        <f t="shared" si="103"/>
        <v>2815.6069205479457</v>
      </c>
      <c r="AP260" s="65">
        <f t="shared" si="8"/>
        <v>1</v>
      </c>
      <c r="AQ260" s="16">
        <f t="shared" si="9"/>
        <v>1</v>
      </c>
      <c r="AR260" s="16">
        <f t="shared" si="10"/>
        <v>1</v>
      </c>
      <c r="AS260" s="66">
        <f t="shared" si="11"/>
        <v>20912.740000000002</v>
      </c>
      <c r="AT260" s="67">
        <f t="shared" si="12"/>
        <v>81520.59</v>
      </c>
      <c r="AU260" s="68">
        <f t="shared" si="80"/>
        <v>24.466666666666665</v>
      </c>
      <c r="AV260" s="19">
        <f t="shared" si="14"/>
        <v>1.1906804311853213E-2</v>
      </c>
      <c r="AW260" s="69">
        <f t="shared" si="15"/>
        <v>0</v>
      </c>
      <c r="AY260" s="65">
        <f t="shared" si="16"/>
        <v>0</v>
      </c>
      <c r="AZ260" s="16">
        <f t="shared" si="17"/>
        <v>1</v>
      </c>
      <c r="BA260" s="16">
        <f t="shared" si="18"/>
        <v>0</v>
      </c>
      <c r="BB260" s="70">
        <f t="shared" si="19"/>
        <v>0</v>
      </c>
      <c r="BC260" s="67">
        <f t="shared" si="20"/>
        <v>0</v>
      </c>
      <c r="BD260" s="71">
        <f t="shared" si="21"/>
        <v>0</v>
      </c>
      <c r="BE260" s="19">
        <f t="shared" si="22"/>
        <v>0</v>
      </c>
      <c r="BF260" s="69">
        <f t="shared" si="23"/>
        <v>0</v>
      </c>
      <c r="BH260" s="72">
        <f t="shared" si="24"/>
        <v>81520.59</v>
      </c>
      <c r="BI260" s="73">
        <f t="shared" si="25"/>
        <v>1</v>
      </c>
      <c r="BJ260" s="74">
        <f t="shared" si="26"/>
        <v>7.2473363466838015E-3</v>
      </c>
      <c r="BK260" s="75">
        <f t="shared" si="27"/>
        <v>0</v>
      </c>
      <c r="BM260" s="76">
        <f t="shared" si="28"/>
        <v>1</v>
      </c>
    </row>
    <row r="261" spans="1:65" ht="12.75" customHeight="1" x14ac:dyDescent="0.2">
      <c r="A261" s="47"/>
      <c r="B261" s="48" t="s">
        <v>531</v>
      </c>
      <c r="C261" s="49">
        <v>39995</v>
      </c>
      <c r="D261" s="50">
        <v>13</v>
      </c>
      <c r="E261" s="49">
        <v>34858.04</v>
      </c>
      <c r="F261" s="50" t="s">
        <v>55</v>
      </c>
      <c r="G261" s="51">
        <v>44775</v>
      </c>
      <c r="H261" s="52" t="s">
        <v>56</v>
      </c>
      <c r="I261" s="51">
        <v>45043</v>
      </c>
      <c r="J261" s="52">
        <f t="shared" si="98"/>
        <v>8.9333333333333336</v>
      </c>
      <c r="K261" s="53" t="s">
        <v>532</v>
      </c>
      <c r="L261" s="53">
        <v>50000</v>
      </c>
      <c r="M261" s="54">
        <v>31.55</v>
      </c>
      <c r="N261" s="54">
        <v>6314.43</v>
      </c>
      <c r="O261" s="54">
        <v>5230</v>
      </c>
      <c r="P261" s="54">
        <f t="shared" si="69"/>
        <v>0</v>
      </c>
      <c r="Q261" s="54">
        <f t="shared" si="70"/>
        <v>0</v>
      </c>
      <c r="R261" s="55">
        <f t="shared" si="71"/>
        <v>0</v>
      </c>
      <c r="S261" s="55">
        <f t="shared" si="72"/>
        <v>1</v>
      </c>
      <c r="T261" s="56"/>
      <c r="V261" s="57">
        <v>27.75</v>
      </c>
      <c r="W261" s="58"/>
      <c r="X261" s="58">
        <v>1.94</v>
      </c>
      <c r="Y261" s="58"/>
      <c r="Z261" s="58">
        <f>12.6+17.01</f>
        <v>29.61</v>
      </c>
      <c r="AA261" s="58"/>
      <c r="AB261" s="58">
        <f t="shared" si="100"/>
        <v>59.3</v>
      </c>
      <c r="AC261" s="58"/>
      <c r="AD261" s="59">
        <v>0</v>
      </c>
      <c r="AE261" s="60"/>
      <c r="AF261" s="61"/>
      <c r="AG261" s="59"/>
      <c r="AH261" s="60"/>
      <c r="AI261" s="62"/>
      <c r="AJ261" s="62">
        <f t="shared" si="101"/>
        <v>0</v>
      </c>
      <c r="AK261" s="63">
        <f t="shared" si="107"/>
        <v>0</v>
      </c>
      <c r="AL261" s="64">
        <f t="shared" si="103"/>
        <v>31.55</v>
      </c>
      <c r="AP261" s="65">
        <f t="shared" si="8"/>
        <v>1</v>
      </c>
      <c r="AQ261" s="16">
        <f t="shared" si="9"/>
        <v>1</v>
      </c>
      <c r="AR261" s="16">
        <f t="shared" si="10"/>
        <v>1</v>
      </c>
      <c r="AS261" s="66">
        <f t="shared" si="11"/>
        <v>11544.43</v>
      </c>
      <c r="AT261" s="67">
        <f t="shared" si="12"/>
        <v>34858.04</v>
      </c>
      <c r="AU261" s="68">
        <f t="shared" si="80"/>
        <v>8.9333333333333336</v>
      </c>
      <c r="AV261" s="19">
        <f t="shared" si="14"/>
        <v>5.0913255286149399E-3</v>
      </c>
      <c r="AW261" s="69">
        <f t="shared" si="15"/>
        <v>0</v>
      </c>
      <c r="AY261" s="65">
        <f t="shared" si="16"/>
        <v>0</v>
      </c>
      <c r="AZ261" s="16">
        <f t="shared" si="17"/>
        <v>1</v>
      </c>
      <c r="BA261" s="16">
        <f t="shared" si="18"/>
        <v>0</v>
      </c>
      <c r="BB261" s="70">
        <f t="shared" si="19"/>
        <v>0</v>
      </c>
      <c r="BC261" s="67">
        <f t="shared" si="20"/>
        <v>0</v>
      </c>
      <c r="BD261" s="71">
        <f t="shared" si="21"/>
        <v>0</v>
      </c>
      <c r="BE261" s="19">
        <f t="shared" si="22"/>
        <v>0</v>
      </c>
      <c r="BF261" s="69">
        <f t="shared" si="23"/>
        <v>0</v>
      </c>
      <c r="BH261" s="72">
        <f t="shared" si="24"/>
        <v>34858.04</v>
      </c>
      <c r="BI261" s="73">
        <f t="shared" si="25"/>
        <v>1</v>
      </c>
      <c r="BJ261" s="74">
        <f t="shared" si="26"/>
        <v>3.0989464166802255E-3</v>
      </c>
      <c r="BK261" s="75">
        <f t="shared" si="27"/>
        <v>0</v>
      </c>
      <c r="BM261" s="76">
        <f t="shared" si="28"/>
        <v>1</v>
      </c>
    </row>
    <row r="262" spans="1:65" ht="12.75" customHeight="1" x14ac:dyDescent="0.2">
      <c r="A262" s="47"/>
      <c r="B262" s="48" t="s">
        <v>533</v>
      </c>
      <c r="C262" s="49">
        <v>42500</v>
      </c>
      <c r="D262" s="50">
        <v>13</v>
      </c>
      <c r="E262" s="49">
        <v>31700.1</v>
      </c>
      <c r="F262" s="50" t="s">
        <v>63</v>
      </c>
      <c r="G262" s="51">
        <v>44831</v>
      </c>
      <c r="H262" s="52" t="s">
        <v>56</v>
      </c>
      <c r="I262" s="51">
        <v>45106</v>
      </c>
      <c r="J262" s="52">
        <f t="shared" si="98"/>
        <v>9.1666666666666661</v>
      </c>
      <c r="K262" s="53" t="s">
        <v>534</v>
      </c>
      <c r="L262" s="53">
        <v>54100</v>
      </c>
      <c r="M262" s="54">
        <v>1236.67</v>
      </c>
      <c r="N262" s="54">
        <v>4750.75</v>
      </c>
      <c r="O262" s="54">
        <v>4467.8100000000004</v>
      </c>
      <c r="P262" s="54">
        <f t="shared" si="69"/>
        <v>0</v>
      </c>
      <c r="Q262" s="54">
        <f t="shared" si="70"/>
        <v>0</v>
      </c>
      <c r="R262" s="55">
        <f t="shared" si="71"/>
        <v>0</v>
      </c>
      <c r="S262" s="55">
        <f t="shared" si="72"/>
        <v>1</v>
      </c>
      <c r="T262" s="56"/>
      <c r="V262" s="57">
        <v>72.25</v>
      </c>
      <c r="W262" s="58"/>
      <c r="X262" s="58">
        <v>5.0599999999999996</v>
      </c>
      <c r="Y262" s="58"/>
      <c r="Z262" s="58">
        <f>96.05+89.93+57.12</f>
        <v>243.10000000000002</v>
      </c>
      <c r="AA262" s="58">
        <v>988.51</v>
      </c>
      <c r="AB262" s="58">
        <f t="shared" si="100"/>
        <v>1308.92</v>
      </c>
      <c r="AC262" s="58">
        <v>15629.55</v>
      </c>
      <c r="AD262" s="59">
        <v>6.7500000000000004E-2</v>
      </c>
      <c r="AE262" s="60">
        <f t="shared" ref="AE262:AE265" si="110">((AC262*AD262)/365)*180</f>
        <v>520.27132191780822</v>
      </c>
      <c r="AF262" s="61">
        <v>16070.55</v>
      </c>
      <c r="AG262" s="59">
        <v>7.0000000000000007E-2</v>
      </c>
      <c r="AH262" s="60">
        <f t="shared" ref="AH262:AH264" si="111">((AF262*AG262)/365)*180</f>
        <v>554.76419178082199</v>
      </c>
      <c r="AI262" s="62">
        <f t="shared" ref="AI262:AI264" si="112">AC262+AF262</f>
        <v>31700.1</v>
      </c>
      <c r="AJ262" s="62">
        <f t="shared" si="101"/>
        <v>1075.0355136986302</v>
      </c>
      <c r="AK262" s="63">
        <f t="shared" si="107"/>
        <v>988.51</v>
      </c>
      <c r="AL262" s="64">
        <f t="shared" si="103"/>
        <v>1236.67</v>
      </c>
      <c r="AP262" s="65">
        <f t="shared" ref="AP262:AP378" si="113">IF(F262="Legal Foreclosure",1,0)</f>
        <v>0</v>
      </c>
      <c r="AQ262" s="16">
        <f t="shared" ref="AQ262:AQ378" si="114">IF(I262="N/A",0,1)</f>
        <v>1</v>
      </c>
      <c r="AR262" s="16">
        <f t="shared" ref="AR262:AR378" si="115">AP262*AQ262</f>
        <v>0</v>
      </c>
      <c r="AS262" s="66">
        <f t="shared" ref="AS262:AS378" si="116">(N262+O262)*AR262</f>
        <v>0</v>
      </c>
      <c r="AT262" s="67">
        <f t="shared" ref="AT262:AT378" si="117">E262*AR262</f>
        <v>0</v>
      </c>
      <c r="AU262" s="68">
        <f t="shared" si="80"/>
        <v>0</v>
      </c>
      <c r="AV262" s="19">
        <f t="shared" ref="AV262:AV378" si="118">AT262/$AT$400*AR262</f>
        <v>0</v>
      </c>
      <c r="AW262" s="69">
        <f t="shared" ref="AW262:AW378" si="119">IF(AR262=0,0,R262*AV262)</f>
        <v>0</v>
      </c>
      <c r="AY262" s="65">
        <f t="shared" ref="AY262:AY378" si="120">IF(F262="Deed in Lieu",1,0)</f>
        <v>1</v>
      </c>
      <c r="AZ262" s="16">
        <f t="shared" ref="AZ262:AZ378" si="121">IF(I262="N/A",0,1)</f>
        <v>1</v>
      </c>
      <c r="BA262" s="16">
        <f t="shared" ref="BA262:BA378" si="122">AY262*AZ262</f>
        <v>1</v>
      </c>
      <c r="BB262" s="70">
        <f t="shared" ref="BB262:BB378" si="123">(N262+O262)*BA262</f>
        <v>9218.5600000000013</v>
      </c>
      <c r="BC262" s="67">
        <f t="shared" ref="BC262:BC378" si="124">E262*BA262</f>
        <v>31700.1</v>
      </c>
      <c r="BD262" s="71">
        <f t="shared" ref="BD262:BD378" si="125">IF(BA262=1,J262,0)</f>
        <v>9.1666666666666661</v>
      </c>
      <c r="BE262" s="19">
        <f t="shared" ref="BE262:BE378" si="126">BC262/$BC$400*BA262</f>
        <v>7.2016269555328725E-3</v>
      </c>
      <c r="BF262" s="69">
        <f t="shared" ref="BF262:BF378" si="127">IF(BA262=0,0,R262*BE262)</f>
        <v>0</v>
      </c>
      <c r="BH262" s="72">
        <f t="shared" ref="BH262:BH378" si="128">AT262+BC262</f>
        <v>31700.1</v>
      </c>
      <c r="BI262" s="73">
        <f t="shared" ref="BI262:BI378" si="129">AR262+BA262</f>
        <v>1</v>
      </c>
      <c r="BJ262" s="74">
        <f t="shared" ref="BJ262:BJ378" si="130">BH262/$BH$400</f>
        <v>2.8181995116020528E-3</v>
      </c>
      <c r="BK262" s="75">
        <f t="shared" ref="BK262:BK378" si="131">IF(BI262=0,0,R262*BJ262)</f>
        <v>0</v>
      </c>
      <c r="BM262" s="76">
        <f t="shared" ref="BM262:BM378" si="132">IF(E262&gt;1,1,0)</f>
        <v>1</v>
      </c>
    </row>
    <row r="263" spans="1:65" ht="12.75" customHeight="1" x14ac:dyDescent="0.2">
      <c r="A263" s="47"/>
      <c r="B263" s="48" t="s">
        <v>535</v>
      </c>
      <c r="C263" s="49">
        <v>71000</v>
      </c>
      <c r="D263" s="50">
        <v>13</v>
      </c>
      <c r="E263" s="49">
        <v>60556.46</v>
      </c>
      <c r="F263" s="50" t="s">
        <v>63</v>
      </c>
      <c r="G263" s="51">
        <v>44831</v>
      </c>
      <c r="H263" s="52" t="s">
        <v>56</v>
      </c>
      <c r="I263" s="51">
        <v>45469</v>
      </c>
      <c r="J263" s="52">
        <f t="shared" si="98"/>
        <v>21.266666666666666</v>
      </c>
      <c r="K263" s="53" t="s">
        <v>536</v>
      </c>
      <c r="L263" s="53">
        <v>87000</v>
      </c>
      <c r="M263" s="54">
        <v>2345.84</v>
      </c>
      <c r="N263" s="54">
        <v>6381.76</v>
      </c>
      <c r="O263" s="54">
        <v>6543.66</v>
      </c>
      <c r="P263" s="54">
        <f t="shared" si="69"/>
        <v>0</v>
      </c>
      <c r="Q263" s="54">
        <f t="shared" si="70"/>
        <v>0</v>
      </c>
      <c r="R263" s="55">
        <f t="shared" si="71"/>
        <v>0</v>
      </c>
      <c r="S263" s="55">
        <f t="shared" si="72"/>
        <v>1</v>
      </c>
      <c r="T263" s="56"/>
      <c r="V263" s="57">
        <v>370</v>
      </c>
      <c r="W263" s="58"/>
      <c r="X263" s="58">
        <v>25.9</v>
      </c>
      <c r="Y263" s="58"/>
      <c r="Z263" s="58">
        <f>298.4+122+137.6</f>
        <v>558</v>
      </c>
      <c r="AA263" s="58">
        <v>2869.58</v>
      </c>
      <c r="AB263" s="58">
        <f t="shared" si="100"/>
        <v>3823.48</v>
      </c>
      <c r="AC263" s="58">
        <v>14371.82</v>
      </c>
      <c r="AD263" s="59">
        <v>5.8999999999999997E-2</v>
      </c>
      <c r="AE263" s="60">
        <f t="shared" si="110"/>
        <v>418.16089972602742</v>
      </c>
      <c r="AF263" s="61">
        <v>46184.639999999999</v>
      </c>
      <c r="AG263" s="59">
        <v>5.8999999999999997E-2</v>
      </c>
      <c r="AH263" s="60">
        <f t="shared" si="111"/>
        <v>1343.7832241095891</v>
      </c>
      <c r="AI263" s="62">
        <f t="shared" si="112"/>
        <v>60556.46</v>
      </c>
      <c r="AJ263" s="62">
        <f t="shared" si="101"/>
        <v>1761.9441238356167</v>
      </c>
      <c r="AK263" s="63">
        <f t="shared" si="107"/>
        <v>1761.9441238356167</v>
      </c>
      <c r="AL263" s="64">
        <f t="shared" si="103"/>
        <v>2345.8441238356168</v>
      </c>
      <c r="AP263" s="65">
        <f t="shared" si="113"/>
        <v>0</v>
      </c>
      <c r="AQ263" s="16">
        <f t="shared" si="114"/>
        <v>1</v>
      </c>
      <c r="AR263" s="16">
        <f t="shared" si="115"/>
        <v>0</v>
      </c>
      <c r="AS263" s="66">
        <f t="shared" si="116"/>
        <v>0</v>
      </c>
      <c r="AT263" s="67">
        <f t="shared" si="117"/>
        <v>0</v>
      </c>
      <c r="AU263" s="68">
        <f t="shared" si="80"/>
        <v>0</v>
      </c>
      <c r="AV263" s="19">
        <f t="shared" si="118"/>
        <v>0</v>
      </c>
      <c r="AW263" s="69">
        <f t="shared" si="119"/>
        <v>0</v>
      </c>
      <c r="AY263" s="65">
        <f t="shared" si="120"/>
        <v>1</v>
      </c>
      <c r="AZ263" s="16">
        <f t="shared" si="121"/>
        <v>1</v>
      </c>
      <c r="BA263" s="16">
        <f t="shared" si="122"/>
        <v>1</v>
      </c>
      <c r="BB263" s="70">
        <f t="shared" si="123"/>
        <v>12925.42</v>
      </c>
      <c r="BC263" s="67">
        <f t="shared" si="124"/>
        <v>60556.46</v>
      </c>
      <c r="BD263" s="71">
        <f t="shared" si="125"/>
        <v>21.266666666666666</v>
      </c>
      <c r="BE263" s="19">
        <f t="shared" si="126"/>
        <v>1.3757213215972447E-2</v>
      </c>
      <c r="BF263" s="69">
        <f t="shared" si="127"/>
        <v>0</v>
      </c>
      <c r="BH263" s="72">
        <f t="shared" si="128"/>
        <v>60556.46</v>
      </c>
      <c r="BI263" s="73">
        <f t="shared" si="129"/>
        <v>1</v>
      </c>
      <c r="BJ263" s="74">
        <f t="shared" si="130"/>
        <v>5.383585098985468E-3</v>
      </c>
      <c r="BK263" s="75">
        <f t="shared" si="131"/>
        <v>0</v>
      </c>
      <c r="BM263" s="76">
        <f t="shared" si="132"/>
        <v>1</v>
      </c>
    </row>
    <row r="264" spans="1:65" ht="12.75" customHeight="1" x14ac:dyDescent="0.2">
      <c r="A264" s="47"/>
      <c r="B264" s="48" t="s">
        <v>537</v>
      </c>
      <c r="C264" s="49">
        <v>17000</v>
      </c>
      <c r="D264" s="50">
        <v>13</v>
      </c>
      <c r="E264" s="49">
        <v>9970.89</v>
      </c>
      <c r="F264" s="50" t="s">
        <v>55</v>
      </c>
      <c r="G264" s="51">
        <v>44895</v>
      </c>
      <c r="H264" s="52" t="s">
        <v>56</v>
      </c>
      <c r="I264" s="51">
        <v>45706</v>
      </c>
      <c r="J264" s="52">
        <f t="shared" si="98"/>
        <v>27.033333333333335</v>
      </c>
      <c r="K264" s="53" t="s">
        <v>538</v>
      </c>
      <c r="L264" s="53">
        <v>26000</v>
      </c>
      <c r="M264" s="54">
        <v>657.39</v>
      </c>
      <c r="N264" s="54">
        <v>8307.26</v>
      </c>
      <c r="O264" s="54">
        <f>4418.61</f>
        <v>4418.6099999999997</v>
      </c>
      <c r="P264" s="54">
        <f t="shared" si="69"/>
        <v>0</v>
      </c>
      <c r="Q264" s="54">
        <f t="shared" si="70"/>
        <v>0</v>
      </c>
      <c r="R264" s="55">
        <f t="shared" si="71"/>
        <v>0</v>
      </c>
      <c r="S264" s="55">
        <f t="shared" si="72"/>
        <v>1</v>
      </c>
      <c r="T264" s="56"/>
      <c r="V264" s="57">
        <v>239.25</v>
      </c>
      <c r="W264" s="58"/>
      <c r="X264" s="58">
        <v>16.75</v>
      </c>
      <c r="Y264" s="58"/>
      <c r="Z264" s="58">
        <f>65.54+169.94+85.55</f>
        <v>321.03000000000003</v>
      </c>
      <c r="AA264" s="58">
        <v>1774.49</v>
      </c>
      <c r="AB264" s="58">
        <f t="shared" si="100"/>
        <v>2351.52</v>
      </c>
      <c r="AC264" s="58">
        <v>9970.89</v>
      </c>
      <c r="AD264" s="59">
        <v>6.5000000000000002E-2</v>
      </c>
      <c r="AE264" s="60">
        <f t="shared" si="110"/>
        <v>319.61483013698626</v>
      </c>
      <c r="AF264" s="61"/>
      <c r="AG264" s="59"/>
      <c r="AH264" s="60">
        <f t="shared" si="111"/>
        <v>0</v>
      </c>
      <c r="AI264" s="62">
        <f t="shared" si="112"/>
        <v>9970.89</v>
      </c>
      <c r="AJ264" s="62">
        <f t="shared" si="101"/>
        <v>319.61483013698626</v>
      </c>
      <c r="AK264" s="63">
        <f t="shared" si="107"/>
        <v>319.61483013698626</v>
      </c>
      <c r="AL264" s="64">
        <f t="shared" si="103"/>
        <v>657.39483013698623</v>
      </c>
      <c r="AP264" s="65">
        <f t="shared" si="113"/>
        <v>1</v>
      </c>
      <c r="AQ264" s="16">
        <f t="shared" si="114"/>
        <v>1</v>
      </c>
      <c r="AR264" s="16">
        <f t="shared" si="115"/>
        <v>1</v>
      </c>
      <c r="AS264" s="66">
        <f t="shared" si="116"/>
        <v>12725.869999999999</v>
      </c>
      <c r="AT264" s="67">
        <f t="shared" si="117"/>
        <v>9970.89</v>
      </c>
      <c r="AU264" s="68">
        <f t="shared" si="80"/>
        <v>27.033333333333335</v>
      </c>
      <c r="AV264" s="19">
        <f t="shared" si="118"/>
        <v>1.456336810675856E-3</v>
      </c>
      <c r="AW264" s="69">
        <f t="shared" si="119"/>
        <v>0</v>
      </c>
      <c r="AY264" s="65">
        <f t="shared" si="120"/>
        <v>0</v>
      </c>
      <c r="AZ264" s="16">
        <f t="shared" si="121"/>
        <v>1</v>
      </c>
      <c r="BA264" s="16">
        <f t="shared" si="122"/>
        <v>0</v>
      </c>
      <c r="BB264" s="70">
        <f t="shared" si="123"/>
        <v>0</v>
      </c>
      <c r="BC264" s="67">
        <f t="shared" si="124"/>
        <v>0</v>
      </c>
      <c r="BD264" s="71">
        <f t="shared" si="125"/>
        <v>0</v>
      </c>
      <c r="BE264" s="19">
        <f t="shared" si="126"/>
        <v>0</v>
      </c>
      <c r="BF264" s="69">
        <f t="shared" si="127"/>
        <v>0</v>
      </c>
      <c r="BH264" s="72">
        <f t="shared" si="128"/>
        <v>9970.89</v>
      </c>
      <c r="BI264" s="73">
        <f t="shared" si="129"/>
        <v>1</v>
      </c>
      <c r="BJ264" s="74">
        <f t="shared" si="130"/>
        <v>8.8643118880501288E-4</v>
      </c>
      <c r="BK264" s="75">
        <f t="shared" si="131"/>
        <v>0</v>
      </c>
      <c r="BM264" s="76">
        <f t="shared" si="132"/>
        <v>1</v>
      </c>
    </row>
    <row r="265" spans="1:65" ht="12.75" customHeight="1" x14ac:dyDescent="0.2">
      <c r="A265" s="47"/>
      <c r="B265" s="48" t="s">
        <v>539</v>
      </c>
      <c r="C265" s="49">
        <v>52819.5</v>
      </c>
      <c r="D265" s="50">
        <v>13</v>
      </c>
      <c r="E265" s="49">
        <v>49921.7</v>
      </c>
      <c r="F265" s="50" t="s">
        <v>55</v>
      </c>
      <c r="G265" s="51">
        <v>44994</v>
      </c>
      <c r="H265" s="52" t="s">
        <v>56</v>
      </c>
      <c r="I265" s="51">
        <v>45198</v>
      </c>
      <c r="J265" s="52">
        <f t="shared" si="98"/>
        <v>6.8</v>
      </c>
      <c r="K265" s="53" t="s">
        <v>540</v>
      </c>
      <c r="L265" s="53">
        <v>60300</v>
      </c>
      <c r="M265" s="54">
        <v>300.46999999999997</v>
      </c>
      <c r="N265" s="54">
        <v>4953.45</v>
      </c>
      <c r="O265" s="54">
        <v>3286.3</v>
      </c>
      <c r="P265" s="54">
        <f t="shared" si="69"/>
        <v>0</v>
      </c>
      <c r="Q265" s="54">
        <f t="shared" si="70"/>
        <v>0</v>
      </c>
      <c r="R265" s="55">
        <f t="shared" si="71"/>
        <v>0</v>
      </c>
      <c r="S265" s="55">
        <f t="shared" si="72"/>
        <v>1</v>
      </c>
      <c r="T265" s="56"/>
      <c r="V265" s="57">
        <v>18.5</v>
      </c>
      <c r="W265" s="58"/>
      <c r="X265" s="58">
        <v>1.3</v>
      </c>
      <c r="Y265" s="58"/>
      <c r="Z265" s="58">
        <f>9.46+14.18+20.74</f>
        <v>44.379999999999995</v>
      </c>
      <c r="AA265" s="58">
        <v>254.79</v>
      </c>
      <c r="AB265" s="58">
        <f t="shared" si="100"/>
        <v>318.96999999999997</v>
      </c>
      <c r="AC265" s="58">
        <v>49921.7</v>
      </c>
      <c r="AD265" s="59">
        <v>1.4999999999999999E-2</v>
      </c>
      <c r="AE265" s="60">
        <f t="shared" si="110"/>
        <v>369.28380821917807</v>
      </c>
      <c r="AF265" s="61"/>
      <c r="AG265" s="59"/>
      <c r="AH265" s="60"/>
      <c r="AI265" s="62"/>
      <c r="AJ265" s="62">
        <f t="shared" si="101"/>
        <v>369.28380821917807</v>
      </c>
      <c r="AK265" s="63">
        <f t="shared" si="107"/>
        <v>254.79</v>
      </c>
      <c r="AL265" s="64">
        <f t="shared" si="103"/>
        <v>300.46999999999997</v>
      </c>
      <c r="AP265" s="65">
        <f t="shared" si="113"/>
        <v>1</v>
      </c>
      <c r="AQ265" s="16">
        <f t="shared" si="114"/>
        <v>1</v>
      </c>
      <c r="AR265" s="16">
        <f t="shared" si="115"/>
        <v>1</v>
      </c>
      <c r="AS265" s="66">
        <f t="shared" si="116"/>
        <v>8239.75</v>
      </c>
      <c r="AT265" s="67">
        <f t="shared" si="117"/>
        <v>49921.7</v>
      </c>
      <c r="AU265" s="68">
        <f t="shared" si="80"/>
        <v>6.8</v>
      </c>
      <c r="AV265" s="19">
        <f t="shared" si="118"/>
        <v>7.2915065116069761E-3</v>
      </c>
      <c r="AW265" s="69">
        <f t="shared" si="119"/>
        <v>0</v>
      </c>
      <c r="AY265" s="65">
        <f t="shared" si="120"/>
        <v>0</v>
      </c>
      <c r="AZ265" s="16">
        <f t="shared" si="121"/>
        <v>1</v>
      </c>
      <c r="BA265" s="16">
        <f t="shared" si="122"/>
        <v>0</v>
      </c>
      <c r="BB265" s="70">
        <f t="shared" si="123"/>
        <v>0</v>
      </c>
      <c r="BC265" s="67">
        <f t="shared" si="124"/>
        <v>0</v>
      </c>
      <c r="BD265" s="71">
        <f t="shared" si="125"/>
        <v>0</v>
      </c>
      <c r="BE265" s="19">
        <f t="shared" si="126"/>
        <v>0</v>
      </c>
      <c r="BF265" s="69">
        <f t="shared" si="127"/>
        <v>0</v>
      </c>
      <c r="BH265" s="72">
        <f t="shared" si="128"/>
        <v>49921.7</v>
      </c>
      <c r="BI265" s="73">
        <f t="shared" si="129"/>
        <v>1</v>
      </c>
      <c r="BJ265" s="74">
        <f t="shared" si="130"/>
        <v>4.4381345976304233E-3</v>
      </c>
      <c r="BK265" s="75">
        <f t="shared" si="131"/>
        <v>0</v>
      </c>
      <c r="BM265" s="76">
        <f t="shared" si="132"/>
        <v>1</v>
      </c>
    </row>
    <row r="266" spans="1:65" ht="12.75" customHeight="1" x14ac:dyDescent="0.2">
      <c r="A266" s="47"/>
      <c r="B266" s="48" t="s">
        <v>541</v>
      </c>
      <c r="C266" s="49">
        <v>47000</v>
      </c>
      <c r="D266" s="50">
        <v>13</v>
      </c>
      <c r="E266" s="49">
        <v>35040.6</v>
      </c>
      <c r="F266" s="50" t="s">
        <v>55</v>
      </c>
      <c r="G266" s="51">
        <v>44964</v>
      </c>
      <c r="H266" s="52" t="s">
        <v>542</v>
      </c>
      <c r="I266" s="51" t="s">
        <v>180</v>
      </c>
      <c r="J266" s="52" t="str">
        <f t="shared" si="98"/>
        <v>N/A</v>
      </c>
      <c r="K266" s="53" t="s">
        <v>180</v>
      </c>
      <c r="L266" s="53" t="s">
        <v>180</v>
      </c>
      <c r="M266" s="54"/>
      <c r="N266" s="54"/>
      <c r="O266" s="54"/>
      <c r="P266" s="54">
        <f t="shared" si="69"/>
        <v>0</v>
      </c>
      <c r="Q266" s="54">
        <f t="shared" si="70"/>
        <v>0</v>
      </c>
      <c r="R266" s="55" t="str">
        <f t="shared" si="71"/>
        <v>N/A</v>
      </c>
      <c r="S266" s="55" t="str">
        <f t="shared" si="72"/>
        <v>N/A</v>
      </c>
      <c r="T266" s="56"/>
      <c r="V266" s="57"/>
      <c r="W266" s="58"/>
      <c r="X266" s="58"/>
      <c r="Y266" s="58"/>
      <c r="Z266" s="58"/>
      <c r="AA266" s="58"/>
      <c r="AB266" s="58">
        <f t="shared" si="100"/>
        <v>0</v>
      </c>
      <c r="AC266" s="58"/>
      <c r="AD266" s="59"/>
      <c r="AE266" s="60"/>
      <c r="AF266" s="61"/>
      <c r="AG266" s="59"/>
      <c r="AH266" s="60"/>
      <c r="AI266" s="62"/>
      <c r="AJ266" s="62">
        <f t="shared" si="101"/>
        <v>0</v>
      </c>
      <c r="AK266" s="63">
        <f t="shared" si="107"/>
        <v>0</v>
      </c>
      <c r="AL266" s="64">
        <f t="shared" si="103"/>
        <v>0</v>
      </c>
      <c r="AP266" s="65">
        <f t="shared" si="113"/>
        <v>1</v>
      </c>
      <c r="AQ266" s="16">
        <f t="shared" si="114"/>
        <v>0</v>
      </c>
      <c r="AR266" s="16">
        <f t="shared" si="115"/>
        <v>0</v>
      </c>
      <c r="AS266" s="66">
        <f t="shared" si="116"/>
        <v>0</v>
      </c>
      <c r="AT266" s="67">
        <f t="shared" si="117"/>
        <v>0</v>
      </c>
      <c r="AU266" s="68">
        <f t="shared" si="80"/>
        <v>0</v>
      </c>
      <c r="AV266" s="19">
        <f t="shared" si="118"/>
        <v>0</v>
      </c>
      <c r="AW266" s="69">
        <f t="shared" si="119"/>
        <v>0</v>
      </c>
      <c r="AY266" s="65">
        <f t="shared" si="120"/>
        <v>0</v>
      </c>
      <c r="AZ266" s="16">
        <f t="shared" si="121"/>
        <v>0</v>
      </c>
      <c r="BA266" s="16">
        <f t="shared" si="122"/>
        <v>0</v>
      </c>
      <c r="BB266" s="70">
        <f t="shared" si="123"/>
        <v>0</v>
      </c>
      <c r="BC266" s="67">
        <f t="shared" si="124"/>
        <v>0</v>
      </c>
      <c r="BD266" s="71">
        <f t="shared" si="125"/>
        <v>0</v>
      </c>
      <c r="BE266" s="19">
        <f t="shared" si="126"/>
        <v>0</v>
      </c>
      <c r="BF266" s="69">
        <f t="shared" si="127"/>
        <v>0</v>
      </c>
      <c r="BH266" s="72">
        <f t="shared" si="128"/>
        <v>0</v>
      </c>
      <c r="BI266" s="73">
        <f t="shared" si="129"/>
        <v>0</v>
      </c>
      <c r="BJ266" s="74">
        <f t="shared" si="130"/>
        <v>0</v>
      </c>
      <c r="BK266" s="75">
        <f t="shared" si="131"/>
        <v>0</v>
      </c>
      <c r="BM266" s="76">
        <f t="shared" si="132"/>
        <v>1</v>
      </c>
    </row>
    <row r="267" spans="1:65" ht="12.75" customHeight="1" x14ac:dyDescent="0.2">
      <c r="A267" s="47"/>
      <c r="B267" s="48" t="s">
        <v>543</v>
      </c>
      <c r="C267" s="49">
        <v>17000</v>
      </c>
      <c r="D267" s="50">
        <v>13</v>
      </c>
      <c r="E267" s="49">
        <v>10596.38</v>
      </c>
      <c r="F267" s="50" t="s">
        <v>55</v>
      </c>
      <c r="G267" s="51">
        <v>44698</v>
      </c>
      <c r="H267" s="52" t="s">
        <v>56</v>
      </c>
      <c r="I267" s="51">
        <v>45656</v>
      </c>
      <c r="J267" s="52">
        <f t="shared" si="98"/>
        <v>31.933333333333334</v>
      </c>
      <c r="K267" s="53" t="s">
        <v>544</v>
      </c>
      <c r="L267" s="53">
        <v>26000</v>
      </c>
      <c r="M267" s="54">
        <v>1522.15</v>
      </c>
      <c r="N267" s="54">
        <v>7981.46</v>
      </c>
      <c r="O267" s="54">
        <v>4736.4399999999996</v>
      </c>
      <c r="P267" s="54">
        <f t="shared" si="69"/>
        <v>0</v>
      </c>
      <c r="Q267" s="54">
        <f t="shared" si="70"/>
        <v>0</v>
      </c>
      <c r="R267" s="55">
        <f t="shared" si="71"/>
        <v>0</v>
      </c>
      <c r="S267" s="55">
        <f t="shared" si="72"/>
        <v>1</v>
      </c>
      <c r="T267" s="56"/>
      <c r="V267" s="57"/>
      <c r="W267" s="58"/>
      <c r="X267" s="58"/>
      <c r="Y267" s="58"/>
      <c r="Z267" s="78"/>
      <c r="AA267" s="58"/>
      <c r="AB267" s="58">
        <f t="shared" si="100"/>
        <v>0</v>
      </c>
      <c r="AC267" s="58"/>
      <c r="AD267" s="59"/>
      <c r="AE267" s="60"/>
      <c r="AF267" s="61"/>
      <c r="AG267" s="59"/>
      <c r="AH267" s="60"/>
      <c r="AI267" s="62"/>
      <c r="AJ267" s="62">
        <f t="shared" si="101"/>
        <v>0</v>
      </c>
      <c r="AK267" s="63"/>
      <c r="AL267" s="64">
        <f t="shared" si="103"/>
        <v>0</v>
      </c>
      <c r="AP267" s="65">
        <f t="shared" si="113"/>
        <v>1</v>
      </c>
      <c r="AQ267" s="16">
        <f t="shared" si="114"/>
        <v>1</v>
      </c>
      <c r="AR267" s="16">
        <f t="shared" si="115"/>
        <v>1</v>
      </c>
      <c r="AS267" s="66">
        <f t="shared" si="116"/>
        <v>12717.9</v>
      </c>
      <c r="AT267" s="67">
        <f t="shared" si="117"/>
        <v>10596.38</v>
      </c>
      <c r="AU267" s="68">
        <f t="shared" si="80"/>
        <v>31.933333333333334</v>
      </c>
      <c r="AV267" s="19">
        <f t="shared" si="118"/>
        <v>1.5476951660192246E-3</v>
      </c>
      <c r="AW267" s="69">
        <f t="shared" si="119"/>
        <v>0</v>
      </c>
      <c r="AY267" s="65">
        <f t="shared" si="120"/>
        <v>0</v>
      </c>
      <c r="AZ267" s="16">
        <f t="shared" si="121"/>
        <v>1</v>
      </c>
      <c r="BA267" s="16">
        <f t="shared" si="122"/>
        <v>0</v>
      </c>
      <c r="BB267" s="70">
        <f t="shared" si="123"/>
        <v>0</v>
      </c>
      <c r="BC267" s="67">
        <f t="shared" si="124"/>
        <v>0</v>
      </c>
      <c r="BD267" s="71">
        <f t="shared" si="125"/>
        <v>0</v>
      </c>
      <c r="BE267" s="19">
        <f t="shared" si="126"/>
        <v>0</v>
      </c>
      <c r="BF267" s="69">
        <f t="shared" si="127"/>
        <v>0</v>
      </c>
      <c r="BH267" s="72">
        <f t="shared" si="128"/>
        <v>10596.38</v>
      </c>
      <c r="BI267" s="73">
        <f t="shared" si="129"/>
        <v>1</v>
      </c>
      <c r="BJ267" s="74">
        <f t="shared" si="130"/>
        <v>9.4203844595915336E-4</v>
      </c>
      <c r="BK267" s="75">
        <f t="shared" si="131"/>
        <v>0</v>
      </c>
      <c r="BM267" s="76">
        <f t="shared" si="132"/>
        <v>1</v>
      </c>
    </row>
    <row r="268" spans="1:65" ht="12.75" customHeight="1" x14ac:dyDescent="0.2">
      <c r="A268" s="47"/>
      <c r="B268" s="48" t="s">
        <v>545</v>
      </c>
      <c r="C268" s="49">
        <v>23383.83</v>
      </c>
      <c r="D268" s="50">
        <v>13</v>
      </c>
      <c r="E268" s="49">
        <v>16320.52</v>
      </c>
      <c r="F268" s="50" t="s">
        <v>55</v>
      </c>
      <c r="G268" s="51">
        <v>44831</v>
      </c>
      <c r="H268" s="52" t="s">
        <v>56</v>
      </c>
      <c r="I268" s="51">
        <v>45168</v>
      </c>
      <c r="J268" s="52">
        <f t="shared" si="98"/>
        <v>11.233333333333333</v>
      </c>
      <c r="K268" s="53" t="s">
        <v>546</v>
      </c>
      <c r="L268" s="53">
        <v>36300</v>
      </c>
      <c r="M268" s="54">
        <v>644.27</v>
      </c>
      <c r="N268" s="54">
        <v>2556.65</v>
      </c>
      <c r="O268" s="54">
        <v>3720.69</v>
      </c>
      <c r="P268" s="54">
        <f t="shared" si="69"/>
        <v>0</v>
      </c>
      <c r="Q268" s="54">
        <f t="shared" si="70"/>
        <v>0</v>
      </c>
      <c r="R268" s="55">
        <f t="shared" si="71"/>
        <v>0</v>
      </c>
      <c r="S268" s="55">
        <f t="shared" si="72"/>
        <v>1</v>
      </c>
      <c r="T268" s="56"/>
      <c r="V268" s="57">
        <v>30</v>
      </c>
      <c r="W268" s="58"/>
      <c r="X268" s="58">
        <v>5.6</v>
      </c>
      <c r="Y268" s="58"/>
      <c r="Z268" s="58">
        <f>31.1+27+37.3</f>
        <v>95.4</v>
      </c>
      <c r="AA268" s="58">
        <v>1059.3800000000001</v>
      </c>
      <c r="AB268" s="58">
        <f t="shared" si="100"/>
        <v>1190.3800000000001</v>
      </c>
      <c r="AC268" s="58">
        <v>16320.52</v>
      </c>
      <c r="AD268" s="59">
        <v>6.7500000000000004E-2</v>
      </c>
      <c r="AE268" s="60">
        <f t="shared" ref="AE268:AE269" si="133">((AC268*AD268)/365)*180</f>
        <v>543.27210410958912</v>
      </c>
      <c r="AF268" s="61"/>
      <c r="AG268" s="59"/>
      <c r="AH268" s="60">
        <f t="shared" ref="AH268:AH269" si="134">((AF268*AG268)/365)*180</f>
        <v>0</v>
      </c>
      <c r="AI268" s="62">
        <f t="shared" ref="AI268:AI269" si="135">AC268+AF268</f>
        <v>16320.52</v>
      </c>
      <c r="AJ268" s="62">
        <f t="shared" si="101"/>
        <v>543.27210410958912</v>
      </c>
      <c r="AK268" s="63">
        <f t="shared" ref="AK268:AK269" si="136">IF(AJ268&lt;AA268,AJ268,AA268)</f>
        <v>543.27210410958912</v>
      </c>
      <c r="AL268" s="64">
        <f t="shared" si="103"/>
        <v>644.27210410958912</v>
      </c>
      <c r="AP268" s="65">
        <f t="shared" si="113"/>
        <v>1</v>
      </c>
      <c r="AQ268" s="16">
        <f t="shared" si="114"/>
        <v>1</v>
      </c>
      <c r="AR268" s="16">
        <f t="shared" si="115"/>
        <v>1</v>
      </c>
      <c r="AS268" s="66">
        <f t="shared" si="116"/>
        <v>6277.34</v>
      </c>
      <c r="AT268" s="67">
        <f t="shared" si="117"/>
        <v>16320.52</v>
      </c>
      <c r="AU268" s="68">
        <f t="shared" si="80"/>
        <v>11.233333333333333</v>
      </c>
      <c r="AV268" s="19">
        <f t="shared" si="118"/>
        <v>2.3837565197661918E-3</v>
      </c>
      <c r="AW268" s="69">
        <f t="shared" si="119"/>
        <v>0</v>
      </c>
      <c r="AY268" s="65">
        <f t="shared" si="120"/>
        <v>0</v>
      </c>
      <c r="AZ268" s="16">
        <f t="shared" si="121"/>
        <v>1</v>
      </c>
      <c r="BA268" s="16">
        <f t="shared" si="122"/>
        <v>0</v>
      </c>
      <c r="BB268" s="70">
        <f t="shared" si="123"/>
        <v>0</v>
      </c>
      <c r="BC268" s="67">
        <f t="shared" si="124"/>
        <v>0</v>
      </c>
      <c r="BD268" s="71">
        <f t="shared" si="125"/>
        <v>0</v>
      </c>
      <c r="BE268" s="19">
        <f t="shared" si="126"/>
        <v>0</v>
      </c>
      <c r="BF268" s="69">
        <f t="shared" si="127"/>
        <v>0</v>
      </c>
      <c r="BH268" s="72">
        <f t="shared" si="128"/>
        <v>16320.52</v>
      </c>
      <c r="BI268" s="73">
        <f t="shared" si="129"/>
        <v>1</v>
      </c>
      <c r="BJ268" s="74">
        <f t="shared" si="130"/>
        <v>1.4509254385030815E-3</v>
      </c>
      <c r="BK268" s="75">
        <f t="shared" si="131"/>
        <v>0</v>
      </c>
      <c r="BM268" s="76">
        <f t="shared" si="132"/>
        <v>1</v>
      </c>
    </row>
    <row r="269" spans="1:65" ht="12.75" customHeight="1" x14ac:dyDescent="0.2">
      <c r="A269" s="47"/>
      <c r="B269" s="48" t="s">
        <v>547</v>
      </c>
      <c r="C269" s="49">
        <v>40000</v>
      </c>
      <c r="D269" s="50">
        <v>13</v>
      </c>
      <c r="E269" s="49">
        <v>31918.39</v>
      </c>
      <c r="F269" s="50" t="s">
        <v>55</v>
      </c>
      <c r="G269" s="51">
        <v>45027</v>
      </c>
      <c r="H269" s="52" t="s">
        <v>56</v>
      </c>
      <c r="I269" s="51">
        <v>45289</v>
      </c>
      <c r="J269" s="52">
        <f t="shared" si="98"/>
        <v>8.7333333333333325</v>
      </c>
      <c r="K269" s="53" t="s">
        <v>548</v>
      </c>
      <c r="L269" s="53">
        <v>42750</v>
      </c>
      <c r="M269" s="54">
        <v>360.66</v>
      </c>
      <c r="N269" s="54">
        <v>3039.01</v>
      </c>
      <c r="O269" s="54">
        <v>3186.24</v>
      </c>
      <c r="P269" s="54">
        <f t="shared" si="69"/>
        <v>0</v>
      </c>
      <c r="Q269" s="54">
        <f t="shared" si="70"/>
        <v>0</v>
      </c>
      <c r="R269" s="55">
        <f t="shared" si="71"/>
        <v>0</v>
      </c>
      <c r="S269" s="55">
        <f t="shared" si="72"/>
        <v>1</v>
      </c>
      <c r="T269" s="56"/>
      <c r="V269" s="57">
        <v>406.5</v>
      </c>
      <c r="W269" s="58"/>
      <c r="X269" s="58">
        <v>28.46</v>
      </c>
      <c r="Y269" s="58"/>
      <c r="Z269" s="58">
        <f>126+75.6+130.6</f>
        <v>332.2</v>
      </c>
      <c r="AA269" s="58">
        <v>0</v>
      </c>
      <c r="AB269" s="58">
        <f t="shared" si="100"/>
        <v>767.16</v>
      </c>
      <c r="AC269" s="58">
        <v>19294.71</v>
      </c>
      <c r="AD269" s="59"/>
      <c r="AE269" s="60">
        <f t="shared" si="133"/>
        <v>0</v>
      </c>
      <c r="AF269" s="61">
        <v>12623.68</v>
      </c>
      <c r="AG269" s="59">
        <v>7.0000000000000007E-2</v>
      </c>
      <c r="AH269" s="60">
        <f t="shared" si="134"/>
        <v>435.77635068493157</v>
      </c>
      <c r="AI269" s="62">
        <f t="shared" si="135"/>
        <v>31918.39</v>
      </c>
      <c r="AJ269" s="62">
        <f t="shared" si="101"/>
        <v>435.77635068493157</v>
      </c>
      <c r="AK269" s="63">
        <f t="shared" si="136"/>
        <v>0</v>
      </c>
      <c r="AL269" s="64">
        <f t="shared" si="103"/>
        <v>360.65999999999997</v>
      </c>
      <c r="AP269" s="65">
        <f t="shared" si="113"/>
        <v>1</v>
      </c>
      <c r="AQ269" s="16">
        <f t="shared" si="114"/>
        <v>1</v>
      </c>
      <c r="AR269" s="16">
        <f t="shared" si="115"/>
        <v>1</v>
      </c>
      <c r="AS269" s="66">
        <f t="shared" si="116"/>
        <v>6225.25</v>
      </c>
      <c r="AT269" s="67">
        <f t="shared" si="117"/>
        <v>31918.39</v>
      </c>
      <c r="AU269" s="68">
        <f t="shared" si="80"/>
        <v>8.7333333333333325</v>
      </c>
      <c r="AV269" s="19">
        <f t="shared" si="118"/>
        <v>4.6619636055064435E-3</v>
      </c>
      <c r="AW269" s="69">
        <f t="shared" si="119"/>
        <v>0</v>
      </c>
      <c r="AY269" s="65">
        <f t="shared" si="120"/>
        <v>0</v>
      </c>
      <c r="AZ269" s="16">
        <f t="shared" si="121"/>
        <v>1</v>
      </c>
      <c r="BA269" s="16">
        <f t="shared" si="122"/>
        <v>0</v>
      </c>
      <c r="BB269" s="70">
        <f t="shared" si="123"/>
        <v>0</v>
      </c>
      <c r="BC269" s="67">
        <f t="shared" si="124"/>
        <v>0</v>
      </c>
      <c r="BD269" s="71">
        <f t="shared" si="125"/>
        <v>0</v>
      </c>
      <c r="BE269" s="19">
        <f t="shared" si="126"/>
        <v>0</v>
      </c>
      <c r="BF269" s="69">
        <f t="shared" si="127"/>
        <v>0</v>
      </c>
      <c r="BH269" s="72">
        <f t="shared" si="128"/>
        <v>31918.39</v>
      </c>
      <c r="BI269" s="73">
        <f t="shared" si="129"/>
        <v>1</v>
      </c>
      <c r="BJ269" s="74">
        <f t="shared" si="130"/>
        <v>2.8376059100483544E-3</v>
      </c>
      <c r="BK269" s="75">
        <f t="shared" si="131"/>
        <v>0</v>
      </c>
      <c r="BM269" s="76">
        <f t="shared" si="132"/>
        <v>1</v>
      </c>
    </row>
    <row r="270" spans="1:65" ht="12.75" customHeight="1" x14ac:dyDescent="0.2">
      <c r="A270" s="47"/>
      <c r="B270" s="48" t="s">
        <v>549</v>
      </c>
      <c r="C270" s="49">
        <v>80000</v>
      </c>
      <c r="D270" s="50">
        <v>13</v>
      </c>
      <c r="E270" s="49">
        <v>77516.09</v>
      </c>
      <c r="F270" s="50" t="s">
        <v>55</v>
      </c>
      <c r="G270" s="51">
        <v>45154</v>
      </c>
      <c r="H270" s="52" t="s">
        <v>56</v>
      </c>
      <c r="I270" s="51">
        <v>45469</v>
      </c>
      <c r="J270" s="52">
        <f t="shared" si="98"/>
        <v>10.5</v>
      </c>
      <c r="K270" s="53" t="s">
        <v>550</v>
      </c>
      <c r="L270" s="53">
        <v>80000</v>
      </c>
      <c r="M270" s="54">
        <v>2241.4700000000003</v>
      </c>
      <c r="N270" s="77">
        <v>12106.46</v>
      </c>
      <c r="O270" s="54">
        <v>1864.28</v>
      </c>
      <c r="P270" s="54">
        <f t="shared" si="69"/>
        <v>0</v>
      </c>
      <c r="Q270" s="54">
        <f t="shared" si="70"/>
        <v>13728.299999999997</v>
      </c>
      <c r="R270" s="55">
        <f t="shared" si="71"/>
        <v>0.17710258605664964</v>
      </c>
      <c r="S270" s="55">
        <f t="shared" si="72"/>
        <v>0.82289741394335036</v>
      </c>
      <c r="T270" s="56"/>
      <c r="V270" s="57"/>
      <c r="W270" s="58"/>
      <c r="X270" s="58"/>
      <c r="Y270" s="58"/>
      <c r="Z270" s="58"/>
      <c r="AA270" s="58"/>
      <c r="AB270" s="58"/>
      <c r="AC270" s="58"/>
      <c r="AD270" s="59"/>
      <c r="AE270" s="60"/>
      <c r="AF270" s="61"/>
      <c r="AG270" s="59"/>
      <c r="AH270" s="60"/>
      <c r="AI270" s="62"/>
      <c r="AJ270" s="62"/>
      <c r="AK270" s="63"/>
      <c r="AL270" s="64"/>
      <c r="AM270" s="5">
        <v>2982.57</v>
      </c>
      <c r="AN270" s="5">
        <f>AM270+Z270</f>
        <v>2982.57</v>
      </c>
      <c r="AP270" s="65">
        <f t="shared" si="113"/>
        <v>1</v>
      </c>
      <c r="AQ270" s="16">
        <f t="shared" si="114"/>
        <v>1</v>
      </c>
      <c r="AR270" s="16">
        <f t="shared" si="115"/>
        <v>1</v>
      </c>
      <c r="AS270" s="66">
        <f t="shared" si="116"/>
        <v>13970.74</v>
      </c>
      <c r="AT270" s="67">
        <f t="shared" si="117"/>
        <v>77516.09</v>
      </c>
      <c r="AU270" s="68">
        <f t="shared" si="80"/>
        <v>10.5</v>
      </c>
      <c r="AV270" s="19">
        <f t="shared" si="118"/>
        <v>1.1321911613372791E-2</v>
      </c>
      <c r="AW270" s="69">
        <f t="shared" si="119"/>
        <v>2.0051398258331353E-3</v>
      </c>
      <c r="AY270" s="65">
        <f t="shared" si="120"/>
        <v>0</v>
      </c>
      <c r="AZ270" s="16">
        <f t="shared" si="121"/>
        <v>1</v>
      </c>
      <c r="BA270" s="16">
        <f t="shared" si="122"/>
        <v>0</v>
      </c>
      <c r="BB270" s="70">
        <f t="shared" si="123"/>
        <v>0</v>
      </c>
      <c r="BC270" s="67">
        <f t="shared" si="124"/>
        <v>0</v>
      </c>
      <c r="BD270" s="71">
        <f t="shared" si="125"/>
        <v>0</v>
      </c>
      <c r="BE270" s="19">
        <f t="shared" si="126"/>
        <v>0</v>
      </c>
      <c r="BF270" s="69">
        <f t="shared" si="127"/>
        <v>0</v>
      </c>
      <c r="BH270" s="72">
        <f t="shared" si="128"/>
        <v>77516.09</v>
      </c>
      <c r="BI270" s="73">
        <f t="shared" si="129"/>
        <v>1</v>
      </c>
      <c r="BJ270" s="74">
        <f t="shared" si="130"/>
        <v>6.8913286386888609E-3</v>
      </c>
      <c r="BK270" s="75">
        <f t="shared" si="131"/>
        <v>1.2204721232780481E-3</v>
      </c>
      <c r="BM270" s="76">
        <f t="shared" si="132"/>
        <v>1</v>
      </c>
    </row>
    <row r="271" spans="1:65" ht="12.75" customHeight="1" x14ac:dyDescent="0.2">
      <c r="A271" s="47"/>
      <c r="B271" s="48" t="s">
        <v>551</v>
      </c>
      <c r="C271" s="49">
        <v>24745.599999999999</v>
      </c>
      <c r="D271" s="50">
        <v>13</v>
      </c>
      <c r="E271" s="49">
        <v>17597.099999999999</v>
      </c>
      <c r="F271" s="50" t="s">
        <v>55</v>
      </c>
      <c r="G271" s="51">
        <v>45158</v>
      </c>
      <c r="H271" s="52" t="s">
        <v>56</v>
      </c>
      <c r="I271" s="51">
        <v>45378</v>
      </c>
      <c r="J271" s="52">
        <f t="shared" si="98"/>
        <v>7.333333333333333</v>
      </c>
      <c r="K271" s="53" t="s">
        <v>552</v>
      </c>
      <c r="L271" s="53">
        <v>45000</v>
      </c>
      <c r="M271" s="54">
        <v>1194.0899999999999</v>
      </c>
      <c r="N271" s="54">
        <v>4729.51</v>
      </c>
      <c r="O271" s="54">
        <v>4320.87</v>
      </c>
      <c r="P271" s="54">
        <f t="shared" si="69"/>
        <v>0</v>
      </c>
      <c r="Q271" s="54">
        <f t="shared" si="70"/>
        <v>0</v>
      </c>
      <c r="R271" s="55">
        <f t="shared" si="71"/>
        <v>0</v>
      </c>
      <c r="S271" s="55">
        <f t="shared" si="72"/>
        <v>1</v>
      </c>
      <c r="T271" s="56"/>
      <c r="V271" s="57">
        <v>404.25</v>
      </c>
      <c r="W271" s="58"/>
      <c r="X271" s="58">
        <v>28.3</v>
      </c>
      <c r="Y271" s="58"/>
      <c r="Z271" s="58">
        <f>161.21+243.04+197.47</f>
        <v>601.72</v>
      </c>
      <c r="AA271" s="58">
        <v>4747.6000000000004</v>
      </c>
      <c r="AB271" s="58">
        <f t="shared" ref="AB271:AB283" si="137">AA271+Z271+Y271+X271+V271+W271</f>
        <v>5781.8700000000008</v>
      </c>
      <c r="AC271" s="58">
        <v>17597.099999999999</v>
      </c>
      <c r="AD271" s="59">
        <v>6.5000000000000002E-2</v>
      </c>
      <c r="AE271" s="60">
        <f t="shared" ref="AE271:AE272" si="138">((AC271*AD271)/365)*180</f>
        <v>564.07142465753418</v>
      </c>
      <c r="AF271" s="61"/>
      <c r="AG271" s="59"/>
      <c r="AH271" s="60">
        <f t="shared" ref="AH271:AH272" si="139">((AF271*AG271)/365)*180</f>
        <v>0</v>
      </c>
      <c r="AI271" s="62">
        <f t="shared" ref="AI271:AI272" si="140">AC271+AF271</f>
        <v>17597.099999999999</v>
      </c>
      <c r="AJ271" s="62">
        <f t="shared" ref="AJ271:AJ283" si="141">AE271+AH271</f>
        <v>564.07142465753418</v>
      </c>
      <c r="AK271" s="63">
        <f t="shared" ref="AK271:AK274" si="142">IF(AJ271&lt;AA271,AJ271,AA271)</f>
        <v>564.07142465753418</v>
      </c>
      <c r="AL271" s="64">
        <f t="shared" ref="AL271:AL283" si="143">W271+X271+Y271+Z271+AK271</f>
        <v>1194.0914246575342</v>
      </c>
      <c r="AP271" s="65">
        <f t="shared" si="113"/>
        <v>1</v>
      </c>
      <c r="AQ271" s="16">
        <f t="shared" si="114"/>
        <v>1</v>
      </c>
      <c r="AR271" s="16">
        <f t="shared" si="115"/>
        <v>1</v>
      </c>
      <c r="AS271" s="66">
        <f t="shared" si="116"/>
        <v>9050.380000000001</v>
      </c>
      <c r="AT271" s="67">
        <f t="shared" si="117"/>
        <v>17597.099999999999</v>
      </c>
      <c r="AU271" s="68">
        <f t="shared" si="80"/>
        <v>7.333333333333333</v>
      </c>
      <c r="AV271" s="19">
        <f t="shared" si="118"/>
        <v>2.5702123372280815E-3</v>
      </c>
      <c r="AW271" s="69">
        <f t="shared" si="119"/>
        <v>0</v>
      </c>
      <c r="AY271" s="65">
        <f t="shared" si="120"/>
        <v>0</v>
      </c>
      <c r="AZ271" s="16">
        <f t="shared" si="121"/>
        <v>1</v>
      </c>
      <c r="BA271" s="16">
        <f t="shared" si="122"/>
        <v>0</v>
      </c>
      <c r="BB271" s="70">
        <f t="shared" si="123"/>
        <v>0</v>
      </c>
      <c r="BC271" s="67">
        <f t="shared" si="124"/>
        <v>0</v>
      </c>
      <c r="BD271" s="71">
        <f t="shared" si="125"/>
        <v>0</v>
      </c>
      <c r="BE271" s="19">
        <f t="shared" si="126"/>
        <v>0</v>
      </c>
      <c r="BF271" s="69">
        <f t="shared" si="127"/>
        <v>0</v>
      </c>
      <c r="BH271" s="72">
        <f t="shared" si="128"/>
        <v>17597.099999999999</v>
      </c>
      <c r="BI271" s="73">
        <f t="shared" si="129"/>
        <v>1</v>
      </c>
      <c r="BJ271" s="74">
        <f t="shared" si="130"/>
        <v>1.5644158417674543E-3</v>
      </c>
      <c r="BK271" s="75">
        <f t="shared" si="131"/>
        <v>0</v>
      </c>
      <c r="BM271" s="76">
        <f t="shared" si="132"/>
        <v>1</v>
      </c>
    </row>
    <row r="272" spans="1:65" ht="12.75" customHeight="1" x14ac:dyDescent="0.2">
      <c r="A272" s="47"/>
      <c r="B272" s="48" t="s">
        <v>553</v>
      </c>
      <c r="C272" s="49">
        <v>35000</v>
      </c>
      <c r="D272" s="50">
        <v>13</v>
      </c>
      <c r="E272" s="49">
        <v>23930.240000000002</v>
      </c>
      <c r="F272" s="50" t="s">
        <v>55</v>
      </c>
      <c r="G272" s="51">
        <v>44763</v>
      </c>
      <c r="H272" s="52" t="s">
        <v>56</v>
      </c>
      <c r="I272" s="51">
        <v>45623</v>
      </c>
      <c r="J272" s="52">
        <f t="shared" si="98"/>
        <v>28.666666666666668</v>
      </c>
      <c r="K272" s="53" t="s">
        <v>554</v>
      </c>
      <c r="L272" s="53">
        <v>53000</v>
      </c>
      <c r="M272" s="53">
        <v>1327.159309589041</v>
      </c>
      <c r="N272" s="54">
        <v>9269.7800000000007</v>
      </c>
      <c r="O272" s="54">
        <v>0</v>
      </c>
      <c r="P272" s="54">
        <f t="shared" si="69"/>
        <v>0</v>
      </c>
      <c r="Q272" s="54">
        <f t="shared" si="70"/>
        <v>0</v>
      </c>
      <c r="R272" s="55">
        <f t="shared" si="71"/>
        <v>0</v>
      </c>
      <c r="S272" s="55">
        <f t="shared" si="72"/>
        <v>1</v>
      </c>
      <c r="T272" s="56"/>
      <c r="V272" s="57">
        <v>182.75</v>
      </c>
      <c r="W272" s="58"/>
      <c r="X272" s="58">
        <v>12.79</v>
      </c>
      <c r="Y272" s="58"/>
      <c r="Z272" s="58">
        <f>102.52+265.94+160.39</f>
        <v>528.84999999999991</v>
      </c>
      <c r="AA272" s="58">
        <v>4224.34</v>
      </c>
      <c r="AB272" s="58">
        <f t="shared" si="137"/>
        <v>4948.7300000000005</v>
      </c>
      <c r="AC272" s="58">
        <v>16451.64</v>
      </c>
      <c r="AD272" s="59">
        <v>6.5000000000000002E-2</v>
      </c>
      <c r="AE272" s="60">
        <f t="shared" si="138"/>
        <v>527.35393972602742</v>
      </c>
      <c r="AF272" s="61">
        <v>7478.6</v>
      </c>
      <c r="AG272" s="79">
        <v>7.0000000000000007E-2</v>
      </c>
      <c r="AH272" s="60">
        <f t="shared" si="139"/>
        <v>258.16536986301372</v>
      </c>
      <c r="AI272" s="62">
        <f t="shared" si="140"/>
        <v>23930.239999999998</v>
      </c>
      <c r="AJ272" s="62">
        <f t="shared" si="141"/>
        <v>785.51930958904109</v>
      </c>
      <c r="AK272" s="63">
        <f t="shared" si="142"/>
        <v>785.51930958904109</v>
      </c>
      <c r="AL272" s="64">
        <f t="shared" si="143"/>
        <v>1327.159309589041</v>
      </c>
      <c r="AP272" s="65">
        <f t="shared" si="113"/>
        <v>1</v>
      </c>
      <c r="AQ272" s="16">
        <f t="shared" si="114"/>
        <v>1</v>
      </c>
      <c r="AR272" s="16">
        <f t="shared" si="115"/>
        <v>1</v>
      </c>
      <c r="AS272" s="66">
        <f t="shared" si="116"/>
        <v>9269.7800000000007</v>
      </c>
      <c r="AT272" s="67">
        <f t="shared" si="117"/>
        <v>23930.240000000002</v>
      </c>
      <c r="AU272" s="68">
        <f t="shared" si="80"/>
        <v>28.666666666666668</v>
      </c>
      <c r="AV272" s="19">
        <f t="shared" si="118"/>
        <v>3.495223535743329E-3</v>
      </c>
      <c r="AW272" s="69">
        <f t="shared" si="119"/>
        <v>0</v>
      </c>
      <c r="AY272" s="65">
        <f t="shared" si="120"/>
        <v>0</v>
      </c>
      <c r="AZ272" s="16">
        <f t="shared" si="121"/>
        <v>1</v>
      </c>
      <c r="BA272" s="16">
        <f t="shared" si="122"/>
        <v>0</v>
      </c>
      <c r="BB272" s="70">
        <f t="shared" si="123"/>
        <v>0</v>
      </c>
      <c r="BC272" s="67">
        <f t="shared" si="124"/>
        <v>0</v>
      </c>
      <c r="BD272" s="71">
        <f t="shared" si="125"/>
        <v>0</v>
      </c>
      <c r="BE272" s="19">
        <f t="shared" si="126"/>
        <v>0</v>
      </c>
      <c r="BF272" s="69">
        <f t="shared" si="127"/>
        <v>0</v>
      </c>
      <c r="BH272" s="72">
        <f t="shared" si="128"/>
        <v>23930.240000000002</v>
      </c>
      <c r="BI272" s="73">
        <f t="shared" si="129"/>
        <v>1</v>
      </c>
      <c r="BJ272" s="74">
        <f t="shared" si="130"/>
        <v>2.1274440989309156E-3</v>
      </c>
      <c r="BK272" s="75">
        <f t="shared" si="131"/>
        <v>0</v>
      </c>
      <c r="BM272" s="76">
        <f t="shared" si="132"/>
        <v>1</v>
      </c>
    </row>
    <row r="273" spans="1:65" ht="12.75" customHeight="1" x14ac:dyDescent="0.2">
      <c r="A273" s="47"/>
      <c r="B273" s="48" t="s">
        <v>555</v>
      </c>
      <c r="C273" s="49">
        <v>57600</v>
      </c>
      <c r="D273" s="50">
        <v>13</v>
      </c>
      <c r="E273" s="49">
        <v>47776.76</v>
      </c>
      <c r="F273" s="50" t="s">
        <v>63</v>
      </c>
      <c r="G273" s="51">
        <v>45062</v>
      </c>
      <c r="H273" s="52" t="s">
        <v>56</v>
      </c>
      <c r="I273" s="51">
        <v>45471</v>
      </c>
      <c r="J273" s="52">
        <f t="shared" si="98"/>
        <v>13.633333333333333</v>
      </c>
      <c r="K273" s="53" t="s">
        <v>556</v>
      </c>
      <c r="L273" s="53">
        <v>55000</v>
      </c>
      <c r="M273" s="54">
        <v>644.34999999999991</v>
      </c>
      <c r="N273" s="54">
        <v>3585.43</v>
      </c>
      <c r="O273" s="54">
        <v>660</v>
      </c>
      <c r="P273" s="54">
        <f t="shared" si="69"/>
        <v>0</v>
      </c>
      <c r="Q273" s="54">
        <f t="shared" si="70"/>
        <v>0</v>
      </c>
      <c r="R273" s="55">
        <f t="shared" si="71"/>
        <v>0</v>
      </c>
      <c r="S273" s="55">
        <f t="shared" si="72"/>
        <v>1</v>
      </c>
      <c r="T273" s="56"/>
      <c r="V273" s="57"/>
      <c r="W273" s="58"/>
      <c r="X273" s="58"/>
      <c r="Y273" s="58"/>
      <c r="Z273" s="58"/>
      <c r="AA273" s="58"/>
      <c r="AB273" s="58">
        <f t="shared" si="137"/>
        <v>0</v>
      </c>
      <c r="AC273" s="58"/>
      <c r="AD273" s="59"/>
      <c r="AE273" s="60"/>
      <c r="AF273" s="61"/>
      <c r="AG273" s="59"/>
      <c r="AH273" s="60"/>
      <c r="AI273" s="62"/>
      <c r="AJ273" s="62">
        <f t="shared" si="141"/>
        <v>0</v>
      </c>
      <c r="AK273" s="63">
        <f t="shared" si="142"/>
        <v>0</v>
      </c>
      <c r="AL273" s="64">
        <f t="shared" si="143"/>
        <v>0</v>
      </c>
      <c r="AP273" s="65">
        <f t="shared" si="113"/>
        <v>0</v>
      </c>
      <c r="AQ273" s="16">
        <f t="shared" si="114"/>
        <v>1</v>
      </c>
      <c r="AR273" s="16">
        <f t="shared" si="115"/>
        <v>0</v>
      </c>
      <c r="AS273" s="66">
        <f t="shared" si="116"/>
        <v>0</v>
      </c>
      <c r="AT273" s="67">
        <f t="shared" si="117"/>
        <v>0</v>
      </c>
      <c r="AU273" s="68">
        <f t="shared" si="80"/>
        <v>0</v>
      </c>
      <c r="AV273" s="19">
        <f t="shared" si="118"/>
        <v>0</v>
      </c>
      <c r="AW273" s="69">
        <f t="shared" si="119"/>
        <v>0</v>
      </c>
      <c r="AY273" s="65">
        <f t="shared" si="120"/>
        <v>1</v>
      </c>
      <c r="AZ273" s="16">
        <f t="shared" si="121"/>
        <v>1</v>
      </c>
      <c r="BA273" s="16">
        <f t="shared" si="122"/>
        <v>1</v>
      </c>
      <c r="BB273" s="70">
        <f t="shared" si="123"/>
        <v>4245.43</v>
      </c>
      <c r="BC273" s="67">
        <f t="shared" si="124"/>
        <v>47776.76</v>
      </c>
      <c r="BD273" s="71">
        <f t="shared" si="125"/>
        <v>13.633333333333333</v>
      </c>
      <c r="BE273" s="19">
        <f t="shared" si="126"/>
        <v>1.0853921680500211E-2</v>
      </c>
      <c r="BF273" s="69">
        <f t="shared" si="127"/>
        <v>0</v>
      </c>
      <c r="BH273" s="72">
        <f t="shared" si="128"/>
        <v>47776.76</v>
      </c>
      <c r="BI273" s="73">
        <f t="shared" si="129"/>
        <v>1</v>
      </c>
      <c r="BJ273" s="74">
        <f t="shared" si="130"/>
        <v>4.2474453297601106E-3</v>
      </c>
      <c r="BK273" s="75">
        <f t="shared" si="131"/>
        <v>0</v>
      </c>
      <c r="BM273" s="76">
        <f t="shared" si="132"/>
        <v>1</v>
      </c>
    </row>
    <row r="274" spans="1:65" ht="12.75" customHeight="1" x14ac:dyDescent="0.2">
      <c r="A274" s="47"/>
      <c r="B274" s="48" t="s">
        <v>557</v>
      </c>
      <c r="C274" s="49">
        <v>30984.84</v>
      </c>
      <c r="D274" s="50">
        <v>13</v>
      </c>
      <c r="E274" s="49">
        <v>17744.25</v>
      </c>
      <c r="F274" s="50" t="s">
        <v>55</v>
      </c>
      <c r="G274" s="51">
        <v>45051</v>
      </c>
      <c r="H274" s="52" t="s">
        <v>56</v>
      </c>
      <c r="I274" s="51">
        <v>45442</v>
      </c>
      <c r="J274" s="52">
        <f t="shared" si="98"/>
        <v>13.033333333333333</v>
      </c>
      <c r="K274" s="53" t="s">
        <v>558</v>
      </c>
      <c r="L274" s="53">
        <v>50000</v>
      </c>
      <c r="M274" s="54">
        <v>1619.84</v>
      </c>
      <c r="N274" s="54">
        <v>5300.99</v>
      </c>
      <c r="O274" s="54">
        <v>50</v>
      </c>
      <c r="P274" s="54">
        <f t="shared" si="69"/>
        <v>0</v>
      </c>
      <c r="Q274" s="54">
        <f t="shared" si="70"/>
        <v>0</v>
      </c>
      <c r="R274" s="55">
        <f t="shared" si="71"/>
        <v>0</v>
      </c>
      <c r="S274" s="55">
        <f t="shared" si="72"/>
        <v>1</v>
      </c>
      <c r="T274" s="56"/>
      <c r="V274" s="57">
        <v>233.75</v>
      </c>
      <c r="W274" s="58"/>
      <c r="X274" s="58">
        <v>16.36</v>
      </c>
      <c r="Y274" s="58">
        <v>213.53</v>
      </c>
      <c r="Z274" s="58">
        <f>226.6+283.25+160.05+69.3+79.2</f>
        <v>818.40000000000009</v>
      </c>
      <c r="AA274" s="58">
        <f>4205.3+1654.88</f>
        <v>5860.18</v>
      </c>
      <c r="AB274" s="58">
        <f t="shared" si="137"/>
        <v>7142.2199999999993</v>
      </c>
      <c r="AC274" s="58">
        <v>13091.14</v>
      </c>
      <c r="AD274" s="59">
        <v>7.0000000000000007E-2</v>
      </c>
      <c r="AE274" s="60">
        <f>((AC274*AD274)/365)*180</f>
        <v>451.91332602739732</v>
      </c>
      <c r="AF274" s="61">
        <v>4653.1099999999997</v>
      </c>
      <c r="AG274" s="59">
        <v>7.7499999999999999E-2</v>
      </c>
      <c r="AH274" s="60">
        <f>((AF274*AG274)/365)*180</f>
        <v>177.8380397260274</v>
      </c>
      <c r="AI274" s="62">
        <f>AC274+AF274</f>
        <v>17744.25</v>
      </c>
      <c r="AJ274" s="62">
        <f t="shared" si="141"/>
        <v>629.75136575342469</v>
      </c>
      <c r="AK274" s="63">
        <f t="shared" si="142"/>
        <v>629.75136575342469</v>
      </c>
      <c r="AL274" s="64">
        <f t="shared" si="143"/>
        <v>1678.0413657534245</v>
      </c>
      <c r="AP274" s="65">
        <f t="shared" si="113"/>
        <v>1</v>
      </c>
      <c r="AQ274" s="16">
        <f t="shared" si="114"/>
        <v>1</v>
      </c>
      <c r="AR274" s="16">
        <f t="shared" si="115"/>
        <v>1</v>
      </c>
      <c r="AS274" s="66">
        <f t="shared" si="116"/>
        <v>5350.99</v>
      </c>
      <c r="AT274" s="67">
        <f t="shared" si="117"/>
        <v>17744.25</v>
      </c>
      <c r="AU274" s="68">
        <f t="shared" si="80"/>
        <v>13.033333333333333</v>
      </c>
      <c r="AV274" s="19">
        <f t="shared" si="118"/>
        <v>2.5917048982422894E-3</v>
      </c>
      <c r="AW274" s="69">
        <f t="shared" si="119"/>
        <v>0</v>
      </c>
      <c r="AY274" s="65">
        <f t="shared" si="120"/>
        <v>0</v>
      </c>
      <c r="AZ274" s="16">
        <f t="shared" si="121"/>
        <v>1</v>
      </c>
      <c r="BA274" s="16">
        <f t="shared" si="122"/>
        <v>0</v>
      </c>
      <c r="BB274" s="70">
        <f t="shared" si="123"/>
        <v>0</v>
      </c>
      <c r="BC274" s="67">
        <f t="shared" si="124"/>
        <v>0</v>
      </c>
      <c r="BD274" s="71">
        <f t="shared" si="125"/>
        <v>0</v>
      </c>
      <c r="BE274" s="19">
        <f t="shared" si="126"/>
        <v>0</v>
      </c>
      <c r="BF274" s="69">
        <f t="shared" si="127"/>
        <v>0</v>
      </c>
      <c r="BH274" s="72">
        <f t="shared" si="128"/>
        <v>17744.25</v>
      </c>
      <c r="BI274" s="73">
        <f t="shared" si="129"/>
        <v>1</v>
      </c>
      <c r="BJ274" s="74">
        <f t="shared" si="130"/>
        <v>1.5774977581693662E-3</v>
      </c>
      <c r="BK274" s="75">
        <f t="shared" si="131"/>
        <v>0</v>
      </c>
      <c r="BM274" s="76">
        <f t="shared" si="132"/>
        <v>1</v>
      </c>
    </row>
    <row r="275" spans="1:65" ht="12.75" customHeight="1" x14ac:dyDescent="0.2">
      <c r="A275" s="47"/>
      <c r="B275" s="48" t="s">
        <v>559</v>
      </c>
      <c r="C275" s="49">
        <v>36500</v>
      </c>
      <c r="D275" s="50">
        <v>13</v>
      </c>
      <c r="E275" s="49">
        <v>25628.36</v>
      </c>
      <c r="F275" s="50" t="s">
        <v>55</v>
      </c>
      <c r="G275" s="51">
        <v>45052</v>
      </c>
      <c r="H275" s="52" t="s">
        <v>56</v>
      </c>
      <c r="I275" s="51">
        <v>45776</v>
      </c>
      <c r="J275" s="52">
        <f t="shared" si="98"/>
        <v>24.133333333333333</v>
      </c>
      <c r="K275" s="53" t="s">
        <v>560</v>
      </c>
      <c r="L275" s="53">
        <v>47000</v>
      </c>
      <c r="M275" s="54">
        <v>380.44</v>
      </c>
      <c r="N275" s="54">
        <v>13204.53</v>
      </c>
      <c r="O275" s="54">
        <v>6801.2</v>
      </c>
      <c r="P275" s="54">
        <f t="shared" si="69"/>
        <v>0</v>
      </c>
      <c r="Q275" s="54">
        <f t="shared" si="70"/>
        <v>0</v>
      </c>
      <c r="R275" s="55">
        <f t="shared" si="71"/>
        <v>0</v>
      </c>
      <c r="S275" s="55">
        <f t="shared" si="72"/>
        <v>1</v>
      </c>
      <c r="T275" s="56"/>
      <c r="V275" s="57"/>
      <c r="W275" s="58"/>
      <c r="X275" s="58"/>
      <c r="Y275" s="58"/>
      <c r="Z275" s="58"/>
      <c r="AA275" s="58"/>
      <c r="AB275" s="58">
        <f t="shared" si="137"/>
        <v>0</v>
      </c>
      <c r="AC275" s="58"/>
      <c r="AD275" s="59"/>
      <c r="AE275" s="60"/>
      <c r="AF275" s="61"/>
      <c r="AG275" s="59"/>
      <c r="AH275" s="60"/>
      <c r="AI275" s="62"/>
      <c r="AJ275" s="62">
        <f t="shared" si="141"/>
        <v>0</v>
      </c>
      <c r="AK275" s="63"/>
      <c r="AL275" s="64">
        <f t="shared" si="143"/>
        <v>0</v>
      </c>
      <c r="AP275" s="65">
        <f t="shared" si="113"/>
        <v>1</v>
      </c>
      <c r="AQ275" s="16">
        <f t="shared" si="114"/>
        <v>1</v>
      </c>
      <c r="AR275" s="16">
        <f t="shared" si="115"/>
        <v>1</v>
      </c>
      <c r="AS275" s="66">
        <f t="shared" si="116"/>
        <v>20005.73</v>
      </c>
      <c r="AT275" s="67">
        <f t="shared" si="117"/>
        <v>25628.36</v>
      </c>
      <c r="AU275" s="68">
        <f t="shared" si="80"/>
        <v>24.133333333333333</v>
      </c>
      <c r="AV275" s="19">
        <f t="shared" si="118"/>
        <v>3.7432490043770102E-3</v>
      </c>
      <c r="AW275" s="69">
        <f t="shared" si="119"/>
        <v>0</v>
      </c>
      <c r="AY275" s="65">
        <f t="shared" si="120"/>
        <v>0</v>
      </c>
      <c r="AZ275" s="16">
        <f t="shared" si="121"/>
        <v>1</v>
      </c>
      <c r="BA275" s="16">
        <f t="shared" si="122"/>
        <v>0</v>
      </c>
      <c r="BB275" s="70">
        <f t="shared" si="123"/>
        <v>0</v>
      </c>
      <c r="BC275" s="67">
        <f t="shared" si="124"/>
        <v>0</v>
      </c>
      <c r="BD275" s="71">
        <f t="shared" si="125"/>
        <v>0</v>
      </c>
      <c r="BE275" s="19">
        <f t="shared" si="126"/>
        <v>0</v>
      </c>
      <c r="BF275" s="69">
        <f t="shared" si="127"/>
        <v>0</v>
      </c>
      <c r="BH275" s="72">
        <f t="shared" si="128"/>
        <v>25628.36</v>
      </c>
      <c r="BI275" s="73">
        <f t="shared" si="129"/>
        <v>1</v>
      </c>
      <c r="BJ275" s="74">
        <f t="shared" si="130"/>
        <v>2.2784102143261877E-3</v>
      </c>
      <c r="BK275" s="75">
        <f t="shared" si="131"/>
        <v>0</v>
      </c>
      <c r="BM275" s="76">
        <f t="shared" si="132"/>
        <v>1</v>
      </c>
    </row>
    <row r="276" spans="1:65" ht="12.75" customHeight="1" x14ac:dyDescent="0.2">
      <c r="A276" s="47"/>
      <c r="B276" s="48" t="s">
        <v>561</v>
      </c>
      <c r="C276" s="49">
        <v>55000</v>
      </c>
      <c r="D276" s="50">
        <v>13</v>
      </c>
      <c r="E276" s="49">
        <v>42831.19</v>
      </c>
      <c r="F276" s="50" t="s">
        <v>55</v>
      </c>
      <c r="G276" s="51">
        <v>45051</v>
      </c>
      <c r="H276" s="52" t="s">
        <v>56</v>
      </c>
      <c r="I276" s="51">
        <v>45441</v>
      </c>
      <c r="J276" s="52">
        <f t="shared" si="98"/>
        <v>13</v>
      </c>
      <c r="K276" s="53" t="s">
        <v>562</v>
      </c>
      <c r="L276" s="53">
        <v>70000</v>
      </c>
      <c r="M276" s="77">
        <v>1286.3400000000001</v>
      </c>
      <c r="N276" s="77">
        <v>9198.73</v>
      </c>
      <c r="O276" s="54">
        <v>3939.07</v>
      </c>
      <c r="P276" s="54">
        <f t="shared" si="69"/>
        <v>0</v>
      </c>
      <c r="Q276" s="54">
        <f t="shared" si="70"/>
        <v>0</v>
      </c>
      <c r="R276" s="55">
        <f t="shared" si="71"/>
        <v>0</v>
      </c>
      <c r="S276" s="55">
        <f t="shared" si="72"/>
        <v>1</v>
      </c>
      <c r="T276" s="56"/>
      <c r="V276" s="57">
        <v>358.08</v>
      </c>
      <c r="W276" s="58"/>
      <c r="X276" s="58">
        <v>25.07</v>
      </c>
      <c r="Y276" s="58"/>
      <c r="Z276" s="58">
        <f>138.72+102.24+110.16</f>
        <v>351.12</v>
      </c>
      <c r="AA276" s="58">
        <v>3832.63</v>
      </c>
      <c r="AB276" s="58">
        <f t="shared" si="137"/>
        <v>4566.8999999999996</v>
      </c>
      <c r="AC276" s="58">
        <v>24060.04</v>
      </c>
      <c r="AD276" s="59">
        <v>6.5000000000000002E-2</v>
      </c>
      <c r="AE276" s="60">
        <f t="shared" ref="AE276:AE283" si="144">((AC276*AD276)/365)*180</f>
        <v>771.23963835616439</v>
      </c>
      <c r="AF276" s="61">
        <v>17868.25</v>
      </c>
      <c r="AG276" s="59">
        <v>7.0000000000000007E-2</v>
      </c>
      <c r="AH276" s="60">
        <f t="shared" ref="AH276:AH282" si="145">((AF276*AG276)/365)*180</f>
        <v>616.82178082191797</v>
      </c>
      <c r="AI276" s="62">
        <f t="shared" ref="AI276:AI283" si="146">AC276+AF276</f>
        <v>41928.29</v>
      </c>
      <c r="AJ276" s="62">
        <f t="shared" si="141"/>
        <v>1388.0614191780824</v>
      </c>
      <c r="AK276" s="63">
        <f t="shared" ref="AK276:AK283" si="147">IF(AJ276&lt;AA276,AJ276,AA276)</f>
        <v>1388.0614191780824</v>
      </c>
      <c r="AL276" s="64">
        <f t="shared" si="143"/>
        <v>1764.2514191780824</v>
      </c>
      <c r="AM276" s="5">
        <v>7075.19</v>
      </c>
      <c r="AN276" s="5">
        <f>AM276+Z276</f>
        <v>7426.3099999999995</v>
      </c>
      <c r="AP276" s="65">
        <f t="shared" si="113"/>
        <v>1</v>
      </c>
      <c r="AQ276" s="16">
        <f t="shared" si="114"/>
        <v>1</v>
      </c>
      <c r="AR276" s="16">
        <f t="shared" si="115"/>
        <v>1</v>
      </c>
      <c r="AS276" s="66">
        <f t="shared" si="116"/>
        <v>13137.8</v>
      </c>
      <c r="AT276" s="67">
        <f t="shared" si="117"/>
        <v>42831.19</v>
      </c>
      <c r="AU276" s="68">
        <f t="shared" si="80"/>
        <v>13</v>
      </c>
      <c r="AV276" s="19">
        <f t="shared" si="118"/>
        <v>6.2558747155019891E-3</v>
      </c>
      <c r="AW276" s="69">
        <f t="shared" si="119"/>
        <v>0</v>
      </c>
      <c r="AY276" s="65">
        <f t="shared" si="120"/>
        <v>0</v>
      </c>
      <c r="AZ276" s="16">
        <f t="shared" si="121"/>
        <v>1</v>
      </c>
      <c r="BA276" s="16">
        <f t="shared" si="122"/>
        <v>0</v>
      </c>
      <c r="BB276" s="70">
        <f t="shared" si="123"/>
        <v>0</v>
      </c>
      <c r="BC276" s="67">
        <f t="shared" si="124"/>
        <v>0</v>
      </c>
      <c r="BD276" s="71">
        <f t="shared" si="125"/>
        <v>0</v>
      </c>
      <c r="BE276" s="19">
        <f t="shared" si="126"/>
        <v>0</v>
      </c>
      <c r="BF276" s="69">
        <f t="shared" si="127"/>
        <v>0</v>
      </c>
      <c r="BH276" s="72">
        <f t="shared" si="128"/>
        <v>42831.19</v>
      </c>
      <c r="BI276" s="73">
        <f t="shared" si="129"/>
        <v>1</v>
      </c>
      <c r="BJ276" s="74">
        <f t="shared" si="130"/>
        <v>3.8077746991124549E-3</v>
      </c>
      <c r="BK276" s="75">
        <f t="shared" si="131"/>
        <v>0</v>
      </c>
      <c r="BM276" s="76">
        <f t="shared" si="132"/>
        <v>1</v>
      </c>
    </row>
    <row r="277" spans="1:65" ht="12.75" customHeight="1" x14ac:dyDescent="0.2">
      <c r="A277" s="47"/>
      <c r="B277" s="48" t="s">
        <v>563</v>
      </c>
      <c r="C277" s="49">
        <v>21490</v>
      </c>
      <c r="D277" s="50">
        <v>13</v>
      </c>
      <c r="E277" s="49">
        <v>14564.04</v>
      </c>
      <c r="F277" s="50" t="s">
        <v>63</v>
      </c>
      <c r="G277" s="51">
        <v>45105</v>
      </c>
      <c r="H277" s="52" t="s">
        <v>56</v>
      </c>
      <c r="I277" s="51">
        <v>45364</v>
      </c>
      <c r="J277" s="52">
        <f t="shared" si="98"/>
        <v>8.6333333333333329</v>
      </c>
      <c r="K277" s="53" t="s">
        <v>564</v>
      </c>
      <c r="L277" s="53">
        <v>40000</v>
      </c>
      <c r="M277" s="54">
        <v>731.8</v>
      </c>
      <c r="N277" s="54">
        <v>3770.8399999999997</v>
      </c>
      <c r="O277" s="54">
        <v>2625.2</v>
      </c>
      <c r="P277" s="54">
        <f t="shared" si="69"/>
        <v>0</v>
      </c>
      <c r="Q277" s="54">
        <f t="shared" si="70"/>
        <v>0</v>
      </c>
      <c r="R277" s="55">
        <f t="shared" si="71"/>
        <v>0</v>
      </c>
      <c r="S277" s="55">
        <f t="shared" si="72"/>
        <v>1</v>
      </c>
      <c r="T277" s="56"/>
      <c r="V277" s="57">
        <v>243.07</v>
      </c>
      <c r="W277" s="58"/>
      <c r="X277" s="58">
        <v>17.010000000000002</v>
      </c>
      <c r="Y277" s="58"/>
      <c r="Z277" s="58">
        <f>65.78+102.81+79.35</f>
        <v>247.94</v>
      </c>
      <c r="AA277" s="58">
        <v>3711.43</v>
      </c>
      <c r="AB277" s="58">
        <f t="shared" si="137"/>
        <v>4219.45</v>
      </c>
      <c r="AC277" s="58">
        <v>14564.04</v>
      </c>
      <c r="AD277" s="59">
        <v>6.5000000000000002E-2</v>
      </c>
      <c r="AE277" s="60">
        <f t="shared" si="144"/>
        <v>466.84730958904117</v>
      </c>
      <c r="AF277" s="61"/>
      <c r="AG277" s="59"/>
      <c r="AH277" s="60">
        <f t="shared" si="145"/>
        <v>0</v>
      </c>
      <c r="AI277" s="62">
        <f t="shared" si="146"/>
        <v>14564.04</v>
      </c>
      <c r="AJ277" s="62">
        <f t="shared" si="141"/>
        <v>466.84730958904117</v>
      </c>
      <c r="AK277" s="63">
        <f t="shared" si="147"/>
        <v>466.84730958904117</v>
      </c>
      <c r="AL277" s="64">
        <f t="shared" si="143"/>
        <v>731.79730958904111</v>
      </c>
      <c r="AP277" s="65">
        <f t="shared" si="113"/>
        <v>0</v>
      </c>
      <c r="AQ277" s="16">
        <f t="shared" si="114"/>
        <v>1</v>
      </c>
      <c r="AR277" s="16">
        <f t="shared" si="115"/>
        <v>0</v>
      </c>
      <c r="AS277" s="66">
        <f t="shared" si="116"/>
        <v>0</v>
      </c>
      <c r="AT277" s="67">
        <f t="shared" si="117"/>
        <v>0</v>
      </c>
      <c r="AU277" s="68">
        <f t="shared" si="80"/>
        <v>0</v>
      </c>
      <c r="AV277" s="19">
        <f t="shared" si="118"/>
        <v>0</v>
      </c>
      <c r="AW277" s="69">
        <f t="shared" si="119"/>
        <v>0</v>
      </c>
      <c r="AY277" s="65">
        <f t="shared" si="120"/>
        <v>1</v>
      </c>
      <c r="AZ277" s="16">
        <f t="shared" si="121"/>
        <v>1</v>
      </c>
      <c r="BA277" s="16">
        <f t="shared" si="122"/>
        <v>1</v>
      </c>
      <c r="BB277" s="70">
        <f t="shared" si="123"/>
        <v>6396.0399999999991</v>
      </c>
      <c r="BC277" s="67">
        <f t="shared" si="124"/>
        <v>14564.04</v>
      </c>
      <c r="BD277" s="71">
        <f t="shared" si="125"/>
        <v>8.6333333333333329</v>
      </c>
      <c r="BE277" s="19">
        <f t="shared" si="126"/>
        <v>3.308657797466222E-3</v>
      </c>
      <c r="BF277" s="69">
        <f t="shared" si="127"/>
        <v>0</v>
      </c>
      <c r="BH277" s="72">
        <f t="shared" si="128"/>
        <v>14564.04</v>
      </c>
      <c r="BI277" s="73">
        <f t="shared" si="129"/>
        <v>1</v>
      </c>
      <c r="BJ277" s="74">
        <f t="shared" si="130"/>
        <v>1.294771007503218E-3</v>
      </c>
      <c r="BK277" s="75">
        <f t="shared" si="131"/>
        <v>0</v>
      </c>
      <c r="BM277" s="76">
        <f t="shared" si="132"/>
        <v>1</v>
      </c>
    </row>
    <row r="278" spans="1:65" ht="12.75" customHeight="1" x14ac:dyDescent="0.2">
      <c r="A278" s="47"/>
      <c r="B278" s="48" t="s">
        <v>565</v>
      </c>
      <c r="C278" s="49">
        <v>39999.53</v>
      </c>
      <c r="D278" s="50">
        <v>13</v>
      </c>
      <c r="E278" s="49">
        <v>36791.22</v>
      </c>
      <c r="F278" s="50" t="s">
        <v>63</v>
      </c>
      <c r="G278" s="51">
        <v>45103</v>
      </c>
      <c r="H278" s="52" t="s">
        <v>56</v>
      </c>
      <c r="I278" s="51">
        <v>45198</v>
      </c>
      <c r="J278" s="52">
        <f t="shared" si="98"/>
        <v>3.1666666666666665</v>
      </c>
      <c r="K278" s="53" t="s">
        <v>566</v>
      </c>
      <c r="L278" s="53">
        <v>40116.06</v>
      </c>
      <c r="M278" s="54">
        <v>253.37</v>
      </c>
      <c r="N278" s="54">
        <v>6758.6200000000008</v>
      </c>
      <c r="O278" s="54">
        <v>1094.1199999999999</v>
      </c>
      <c r="P278" s="54">
        <f t="shared" si="69"/>
        <v>0</v>
      </c>
      <c r="Q278" s="54">
        <f t="shared" si="70"/>
        <v>4781.2700000000041</v>
      </c>
      <c r="R278" s="55">
        <f t="shared" si="71"/>
        <v>0.1299568212198455</v>
      </c>
      <c r="S278" s="55">
        <f t="shared" si="72"/>
        <v>0.87004317878015447</v>
      </c>
      <c r="T278" s="56"/>
      <c r="V278" s="57">
        <v>129.5</v>
      </c>
      <c r="W278" s="58"/>
      <c r="X278" s="58">
        <v>9.07</v>
      </c>
      <c r="Y278" s="58"/>
      <c r="Z278" s="58">
        <f>58.8+106.54+78.96</f>
        <v>244.3</v>
      </c>
      <c r="AA278" s="58">
        <v>0</v>
      </c>
      <c r="AB278" s="58">
        <f t="shared" si="137"/>
        <v>382.87</v>
      </c>
      <c r="AC278" s="58">
        <v>36791.22</v>
      </c>
      <c r="AD278" s="59">
        <v>0</v>
      </c>
      <c r="AE278" s="60">
        <f t="shared" si="144"/>
        <v>0</v>
      </c>
      <c r="AF278" s="61"/>
      <c r="AG278" s="59"/>
      <c r="AH278" s="60">
        <f t="shared" si="145"/>
        <v>0</v>
      </c>
      <c r="AI278" s="62">
        <f t="shared" si="146"/>
        <v>36791.22</v>
      </c>
      <c r="AJ278" s="62">
        <f t="shared" si="141"/>
        <v>0</v>
      </c>
      <c r="AK278" s="63">
        <f t="shared" si="147"/>
        <v>0</v>
      </c>
      <c r="AL278" s="64">
        <f t="shared" si="143"/>
        <v>253.37</v>
      </c>
      <c r="AP278" s="65">
        <f t="shared" si="113"/>
        <v>0</v>
      </c>
      <c r="AQ278" s="16">
        <f t="shared" si="114"/>
        <v>1</v>
      </c>
      <c r="AR278" s="16">
        <f t="shared" si="115"/>
        <v>0</v>
      </c>
      <c r="AS278" s="66">
        <f t="shared" si="116"/>
        <v>0</v>
      </c>
      <c r="AT278" s="67">
        <f t="shared" si="117"/>
        <v>0</v>
      </c>
      <c r="AU278" s="68">
        <f t="shared" si="80"/>
        <v>0</v>
      </c>
      <c r="AV278" s="19">
        <f t="shared" si="118"/>
        <v>0</v>
      </c>
      <c r="AW278" s="69">
        <f t="shared" si="119"/>
        <v>0</v>
      </c>
      <c r="AY278" s="65">
        <f t="shared" si="120"/>
        <v>1</v>
      </c>
      <c r="AZ278" s="16">
        <f t="shared" si="121"/>
        <v>1</v>
      </c>
      <c r="BA278" s="16">
        <f t="shared" si="122"/>
        <v>1</v>
      </c>
      <c r="BB278" s="70">
        <f t="shared" si="123"/>
        <v>7852.7400000000007</v>
      </c>
      <c r="BC278" s="67">
        <f t="shared" si="124"/>
        <v>36791.22</v>
      </c>
      <c r="BD278" s="71">
        <f t="shared" si="125"/>
        <v>3.1666666666666665</v>
      </c>
      <c r="BE278" s="19">
        <f t="shared" si="126"/>
        <v>8.358227314075985E-3</v>
      </c>
      <c r="BF278" s="69">
        <f t="shared" si="127"/>
        <v>1.0862086527702022E-3</v>
      </c>
      <c r="BH278" s="72">
        <f t="shared" si="128"/>
        <v>36791.22</v>
      </c>
      <c r="BI278" s="73">
        <f t="shared" si="129"/>
        <v>1</v>
      </c>
      <c r="BJ278" s="74">
        <f t="shared" si="130"/>
        <v>3.2708098155918648E-3</v>
      </c>
      <c r="BK278" s="75">
        <f t="shared" si="131"/>
        <v>4.2506404644898784E-4</v>
      </c>
      <c r="BM278" s="76">
        <f t="shared" si="132"/>
        <v>1</v>
      </c>
    </row>
    <row r="279" spans="1:65" ht="12.75" customHeight="1" x14ac:dyDescent="0.2">
      <c r="A279" s="47"/>
      <c r="B279" s="48" t="s">
        <v>567</v>
      </c>
      <c r="C279" s="49">
        <v>38000</v>
      </c>
      <c r="D279" s="50">
        <v>13</v>
      </c>
      <c r="E279" s="49">
        <v>16647.150000000001</v>
      </c>
      <c r="F279" s="50" t="s">
        <v>55</v>
      </c>
      <c r="G279" s="51">
        <v>45069</v>
      </c>
      <c r="H279" s="52" t="s">
        <v>56</v>
      </c>
      <c r="I279" s="51">
        <v>45468</v>
      </c>
      <c r="J279" s="52">
        <f t="shared" si="98"/>
        <v>13.3</v>
      </c>
      <c r="K279" s="53" t="s">
        <v>568</v>
      </c>
      <c r="L279" s="53">
        <v>49500</v>
      </c>
      <c r="M279" s="77">
        <v>1500.56</v>
      </c>
      <c r="N279" s="54">
        <v>5586.1500000000005</v>
      </c>
      <c r="O279" s="54">
        <v>2485.63</v>
      </c>
      <c r="P279" s="54">
        <f t="shared" si="69"/>
        <v>0</v>
      </c>
      <c r="Q279" s="54">
        <f t="shared" si="70"/>
        <v>0</v>
      </c>
      <c r="R279" s="55">
        <f t="shared" si="71"/>
        <v>0</v>
      </c>
      <c r="S279" s="55">
        <f t="shared" si="72"/>
        <v>1</v>
      </c>
      <c r="T279" s="56"/>
      <c r="V279" s="57">
        <v>370</v>
      </c>
      <c r="W279" s="58"/>
      <c r="X279" s="58">
        <v>25.9</v>
      </c>
      <c r="Y279" s="58"/>
      <c r="Z279" s="58">
        <f>159.6+273.6+162</f>
        <v>595.20000000000005</v>
      </c>
      <c r="AA279" s="58">
        <v>3418.26</v>
      </c>
      <c r="AB279" s="58">
        <f t="shared" si="137"/>
        <v>4409.3600000000006</v>
      </c>
      <c r="AC279" s="58">
        <v>16647.150000000001</v>
      </c>
      <c r="AD279" s="59">
        <v>5.8999999999999997E-2</v>
      </c>
      <c r="AE279" s="60">
        <f t="shared" si="144"/>
        <v>484.36365205479456</v>
      </c>
      <c r="AF279" s="61">
        <v>13578.97</v>
      </c>
      <c r="AG279" s="59">
        <v>5.8999999999999997E-2</v>
      </c>
      <c r="AH279" s="60">
        <f t="shared" si="145"/>
        <v>395.09222301369857</v>
      </c>
      <c r="AI279" s="62">
        <f t="shared" si="146"/>
        <v>30226.120000000003</v>
      </c>
      <c r="AJ279" s="62">
        <f t="shared" si="141"/>
        <v>879.45587506849313</v>
      </c>
      <c r="AK279" s="63">
        <f t="shared" si="147"/>
        <v>879.45587506849313</v>
      </c>
      <c r="AL279" s="64">
        <f t="shared" si="143"/>
        <v>1500.5558750684932</v>
      </c>
      <c r="AP279" s="65">
        <f t="shared" si="113"/>
        <v>1</v>
      </c>
      <c r="AQ279" s="16">
        <f t="shared" si="114"/>
        <v>1</v>
      </c>
      <c r="AR279" s="16">
        <f t="shared" si="115"/>
        <v>1</v>
      </c>
      <c r="AS279" s="66">
        <f t="shared" si="116"/>
        <v>8071.7800000000007</v>
      </c>
      <c r="AT279" s="67">
        <f t="shared" si="117"/>
        <v>16647.150000000001</v>
      </c>
      <c r="AU279" s="68">
        <f t="shared" si="80"/>
        <v>13.3</v>
      </c>
      <c r="AV279" s="19">
        <f t="shared" si="118"/>
        <v>2.4314637246868214E-3</v>
      </c>
      <c r="AW279" s="69">
        <f t="shared" si="119"/>
        <v>0</v>
      </c>
      <c r="AY279" s="65">
        <f t="shared" si="120"/>
        <v>0</v>
      </c>
      <c r="AZ279" s="16">
        <f t="shared" si="121"/>
        <v>1</v>
      </c>
      <c r="BA279" s="16">
        <f t="shared" si="122"/>
        <v>0</v>
      </c>
      <c r="BB279" s="70">
        <f t="shared" si="123"/>
        <v>0</v>
      </c>
      <c r="BC279" s="67">
        <f t="shared" si="124"/>
        <v>0</v>
      </c>
      <c r="BD279" s="71">
        <f t="shared" si="125"/>
        <v>0</v>
      </c>
      <c r="BE279" s="19">
        <f t="shared" si="126"/>
        <v>0</v>
      </c>
      <c r="BF279" s="69">
        <f t="shared" si="127"/>
        <v>0</v>
      </c>
      <c r="BH279" s="72">
        <f t="shared" si="128"/>
        <v>16647.150000000001</v>
      </c>
      <c r="BI279" s="73">
        <f t="shared" si="129"/>
        <v>1</v>
      </c>
      <c r="BJ279" s="74">
        <f t="shared" si="130"/>
        <v>1.4799634701330947E-3</v>
      </c>
      <c r="BK279" s="75">
        <f t="shared" si="131"/>
        <v>0</v>
      </c>
      <c r="BM279" s="76">
        <f t="shared" si="132"/>
        <v>1</v>
      </c>
    </row>
    <row r="280" spans="1:65" ht="12.75" customHeight="1" x14ac:dyDescent="0.2">
      <c r="A280" s="47"/>
      <c r="B280" s="48" t="s">
        <v>569</v>
      </c>
      <c r="C280" s="49">
        <v>46664.4</v>
      </c>
      <c r="D280" s="50">
        <v>13</v>
      </c>
      <c r="E280" s="49">
        <v>37363.47</v>
      </c>
      <c r="F280" s="50" t="s">
        <v>55</v>
      </c>
      <c r="G280" s="51">
        <v>45100</v>
      </c>
      <c r="H280" s="52" t="s">
        <v>56</v>
      </c>
      <c r="I280" s="51">
        <v>45442</v>
      </c>
      <c r="J280" s="52">
        <f t="shared" si="98"/>
        <v>11.4</v>
      </c>
      <c r="K280" s="53" t="s">
        <v>570</v>
      </c>
      <c r="L280" s="53">
        <v>63450</v>
      </c>
      <c r="M280" s="54">
        <v>1009.0118643835617</v>
      </c>
      <c r="N280" s="54">
        <v>10135.73</v>
      </c>
      <c r="O280" s="54">
        <v>3162.15</v>
      </c>
      <c r="P280" s="54">
        <f t="shared" si="69"/>
        <v>0</v>
      </c>
      <c r="Q280" s="54">
        <f t="shared" si="70"/>
        <v>0</v>
      </c>
      <c r="R280" s="55">
        <f t="shared" si="71"/>
        <v>0</v>
      </c>
      <c r="S280" s="55">
        <f t="shared" si="72"/>
        <v>1</v>
      </c>
      <c r="T280" s="56"/>
      <c r="V280" s="57">
        <v>308</v>
      </c>
      <c r="W280" s="58"/>
      <c r="X280" s="58">
        <v>21.56</v>
      </c>
      <c r="Y280" s="58"/>
      <c r="Z280" s="58">
        <f>173.88+285.32+205.8</f>
        <v>665</v>
      </c>
      <c r="AA280" s="58">
        <v>1692.41</v>
      </c>
      <c r="AB280" s="58">
        <f t="shared" si="137"/>
        <v>2686.97</v>
      </c>
      <c r="AC280" s="58">
        <v>37363.47</v>
      </c>
      <c r="AD280" s="59">
        <v>1.7500000000000002E-2</v>
      </c>
      <c r="AE280" s="60">
        <f t="shared" si="144"/>
        <v>322.45186438356171</v>
      </c>
      <c r="AF280" s="61"/>
      <c r="AG280" s="59"/>
      <c r="AH280" s="60">
        <f t="shared" si="145"/>
        <v>0</v>
      </c>
      <c r="AI280" s="62">
        <f t="shared" si="146"/>
        <v>37363.47</v>
      </c>
      <c r="AJ280" s="62">
        <f t="shared" si="141"/>
        <v>322.45186438356171</v>
      </c>
      <c r="AK280" s="63">
        <f t="shared" si="147"/>
        <v>322.45186438356171</v>
      </c>
      <c r="AL280" s="64">
        <f t="shared" si="143"/>
        <v>1009.0118643835617</v>
      </c>
      <c r="AP280" s="65">
        <f t="shared" si="113"/>
        <v>1</v>
      </c>
      <c r="AQ280" s="16">
        <f t="shared" si="114"/>
        <v>1</v>
      </c>
      <c r="AR280" s="16">
        <f t="shared" si="115"/>
        <v>1</v>
      </c>
      <c r="AS280" s="66">
        <f t="shared" si="116"/>
        <v>13297.88</v>
      </c>
      <c r="AT280" s="67">
        <f t="shared" si="117"/>
        <v>37363.47</v>
      </c>
      <c r="AU280" s="68">
        <f t="shared" si="80"/>
        <v>11.4</v>
      </c>
      <c r="AV280" s="19">
        <f t="shared" si="118"/>
        <v>5.4572657742270785E-3</v>
      </c>
      <c r="AW280" s="69">
        <f t="shared" si="119"/>
        <v>0</v>
      </c>
      <c r="AY280" s="65">
        <f t="shared" si="120"/>
        <v>0</v>
      </c>
      <c r="AZ280" s="16">
        <f t="shared" si="121"/>
        <v>1</v>
      </c>
      <c r="BA280" s="16">
        <f t="shared" si="122"/>
        <v>0</v>
      </c>
      <c r="BB280" s="70">
        <f t="shared" si="123"/>
        <v>0</v>
      </c>
      <c r="BC280" s="67">
        <f t="shared" si="124"/>
        <v>0</v>
      </c>
      <c r="BD280" s="71">
        <f t="shared" si="125"/>
        <v>0</v>
      </c>
      <c r="BE280" s="19">
        <f t="shared" si="126"/>
        <v>0</v>
      </c>
      <c r="BF280" s="69">
        <f t="shared" si="127"/>
        <v>0</v>
      </c>
      <c r="BH280" s="72">
        <f t="shared" si="128"/>
        <v>37363.47</v>
      </c>
      <c r="BI280" s="73">
        <f t="shared" si="129"/>
        <v>1</v>
      </c>
      <c r="BJ280" s="74">
        <f t="shared" si="130"/>
        <v>3.3216839349326328E-3</v>
      </c>
      <c r="BK280" s="75">
        <f t="shared" si="131"/>
        <v>0</v>
      </c>
      <c r="BM280" s="76">
        <f t="shared" si="132"/>
        <v>1</v>
      </c>
    </row>
    <row r="281" spans="1:65" ht="12.75" customHeight="1" x14ac:dyDescent="0.2">
      <c r="A281" s="47"/>
      <c r="B281" s="48" t="s">
        <v>571</v>
      </c>
      <c r="C281" s="49">
        <v>46500</v>
      </c>
      <c r="D281" s="50">
        <v>13</v>
      </c>
      <c r="E281" s="49">
        <v>37572.94</v>
      </c>
      <c r="F281" s="50" t="s">
        <v>63</v>
      </c>
      <c r="G281" s="51">
        <v>45105</v>
      </c>
      <c r="H281" s="52" t="s">
        <v>56</v>
      </c>
      <c r="I281" s="51">
        <v>45442</v>
      </c>
      <c r="J281" s="52">
        <f t="shared" si="98"/>
        <v>11.233333333333333</v>
      </c>
      <c r="K281" s="53" t="s">
        <v>572</v>
      </c>
      <c r="L281" s="53">
        <v>50000</v>
      </c>
      <c r="M281" s="80">
        <v>1925.57</v>
      </c>
      <c r="N281" s="54">
        <v>2210.4499999999998</v>
      </c>
      <c r="O281" s="54">
        <v>3030</v>
      </c>
      <c r="P281" s="54">
        <f t="shared" si="69"/>
        <v>0</v>
      </c>
      <c r="Q281" s="54">
        <f t="shared" si="70"/>
        <v>0</v>
      </c>
      <c r="R281" s="55">
        <f t="shared" si="71"/>
        <v>0</v>
      </c>
      <c r="S281" s="55">
        <f t="shared" si="72"/>
        <v>1</v>
      </c>
      <c r="T281" s="56"/>
      <c r="V281" s="57">
        <v>80</v>
      </c>
      <c r="W281" s="58"/>
      <c r="X281" s="58">
        <v>5.6</v>
      </c>
      <c r="Y281" s="58">
        <v>307.77999999999997</v>
      </c>
      <c r="Z281" s="58">
        <f>61.8+226+40+80</f>
        <v>407.8</v>
      </c>
      <c r="AA281" s="58">
        <v>2922.36</v>
      </c>
      <c r="AB281" s="58">
        <f t="shared" si="137"/>
        <v>3723.5400000000004</v>
      </c>
      <c r="AC281" s="58">
        <v>37572.94</v>
      </c>
      <c r="AD281" s="59">
        <v>6.5000000000000002E-2</v>
      </c>
      <c r="AE281" s="60">
        <f t="shared" si="144"/>
        <v>1204.3928712328768</v>
      </c>
      <c r="AF281" s="61"/>
      <c r="AG281" s="59"/>
      <c r="AH281" s="60">
        <f t="shared" si="145"/>
        <v>0</v>
      </c>
      <c r="AI281" s="62">
        <f t="shared" si="146"/>
        <v>37572.94</v>
      </c>
      <c r="AJ281" s="62">
        <f t="shared" si="141"/>
        <v>1204.3928712328768</v>
      </c>
      <c r="AK281" s="63">
        <f t="shared" si="147"/>
        <v>1204.3928712328768</v>
      </c>
      <c r="AL281" s="64">
        <f t="shared" si="143"/>
        <v>1925.5728712328769</v>
      </c>
      <c r="AP281" s="65">
        <f t="shared" si="113"/>
        <v>0</v>
      </c>
      <c r="AQ281" s="16">
        <f t="shared" si="114"/>
        <v>1</v>
      </c>
      <c r="AR281" s="16">
        <f t="shared" si="115"/>
        <v>0</v>
      </c>
      <c r="AS281" s="66">
        <f t="shared" si="116"/>
        <v>0</v>
      </c>
      <c r="AT281" s="67">
        <f t="shared" si="117"/>
        <v>0</v>
      </c>
      <c r="AU281" s="68">
        <f t="shared" si="80"/>
        <v>0</v>
      </c>
      <c r="AV281" s="19">
        <f t="shared" si="118"/>
        <v>0</v>
      </c>
      <c r="AW281" s="69">
        <f t="shared" si="119"/>
        <v>0</v>
      </c>
      <c r="AY281" s="65">
        <f t="shared" si="120"/>
        <v>1</v>
      </c>
      <c r="AZ281" s="16">
        <f t="shared" si="121"/>
        <v>1</v>
      </c>
      <c r="BA281" s="16">
        <f t="shared" si="122"/>
        <v>1</v>
      </c>
      <c r="BB281" s="70">
        <f t="shared" si="123"/>
        <v>5240.45</v>
      </c>
      <c r="BC281" s="67">
        <f t="shared" si="124"/>
        <v>37572.94</v>
      </c>
      <c r="BD281" s="71">
        <f t="shared" si="125"/>
        <v>11.233333333333333</v>
      </c>
      <c r="BE281" s="19">
        <f t="shared" si="126"/>
        <v>8.5358184202137949E-3</v>
      </c>
      <c r="BF281" s="69">
        <f t="shared" si="127"/>
        <v>0</v>
      </c>
      <c r="BH281" s="72">
        <f t="shared" si="128"/>
        <v>37572.94</v>
      </c>
      <c r="BI281" s="73">
        <f t="shared" si="129"/>
        <v>1</v>
      </c>
      <c r="BJ281" s="74">
        <f t="shared" si="130"/>
        <v>3.3403062185120309E-3</v>
      </c>
      <c r="BK281" s="75">
        <f t="shared" si="131"/>
        <v>0</v>
      </c>
      <c r="BM281" s="76">
        <f t="shared" si="132"/>
        <v>1</v>
      </c>
    </row>
    <row r="282" spans="1:65" ht="12.75" customHeight="1" x14ac:dyDescent="0.2">
      <c r="A282" s="47"/>
      <c r="B282" s="48" t="s">
        <v>573</v>
      </c>
      <c r="C282" s="49">
        <v>49500</v>
      </c>
      <c r="D282" s="50">
        <v>13</v>
      </c>
      <c r="E282" s="49">
        <v>42770.1</v>
      </c>
      <c r="F282" s="50" t="s">
        <v>63</v>
      </c>
      <c r="G282" s="51">
        <v>45106</v>
      </c>
      <c r="H282" s="52" t="s">
        <v>56</v>
      </c>
      <c r="I282" s="51">
        <v>45169</v>
      </c>
      <c r="J282" s="52">
        <f t="shared" si="98"/>
        <v>2.1</v>
      </c>
      <c r="K282" s="53" t="s">
        <v>574</v>
      </c>
      <c r="L282" s="53">
        <v>50000</v>
      </c>
      <c r="M282" s="54">
        <v>1421.45</v>
      </c>
      <c r="N282" s="54">
        <v>4610.55</v>
      </c>
      <c r="O282" s="54">
        <v>2005</v>
      </c>
      <c r="P282" s="54">
        <f t="shared" si="69"/>
        <v>0</v>
      </c>
      <c r="Q282" s="54">
        <f t="shared" si="70"/>
        <v>807.09999999999854</v>
      </c>
      <c r="R282" s="55">
        <f t="shared" si="71"/>
        <v>1.8870659643068371E-2</v>
      </c>
      <c r="S282" s="55">
        <f t="shared" si="72"/>
        <v>0.98112934035693167</v>
      </c>
      <c r="T282" s="56"/>
      <c r="V282" s="57">
        <f>111</f>
        <v>111</v>
      </c>
      <c r="W282" s="58"/>
      <c r="X282" s="58">
        <f>7.77</f>
        <v>7.77</v>
      </c>
      <c r="Y282" s="58"/>
      <c r="Z282" s="58">
        <f>62.4+59.4+79.08</f>
        <v>200.88</v>
      </c>
      <c r="AA282" s="58">
        <v>2430.13</v>
      </c>
      <c r="AB282" s="58">
        <f t="shared" si="137"/>
        <v>2749.78</v>
      </c>
      <c r="AC282" s="58">
        <v>30310.28</v>
      </c>
      <c r="AD282" s="59">
        <v>5.7500000000000002E-2</v>
      </c>
      <c r="AE282" s="60">
        <f t="shared" si="144"/>
        <v>859.48328219178086</v>
      </c>
      <c r="AF282" s="61">
        <v>12459.82</v>
      </c>
      <c r="AG282" s="59">
        <v>5.7500000000000002E-2</v>
      </c>
      <c r="AH282" s="60">
        <f t="shared" si="145"/>
        <v>353.31270410958905</v>
      </c>
      <c r="AI282" s="62">
        <f t="shared" si="146"/>
        <v>42770.1</v>
      </c>
      <c r="AJ282" s="62">
        <f t="shared" si="141"/>
        <v>1212.7959863013698</v>
      </c>
      <c r="AK282" s="63">
        <f t="shared" si="147"/>
        <v>1212.7959863013698</v>
      </c>
      <c r="AL282" s="64">
        <f t="shared" si="143"/>
        <v>1421.4459863013699</v>
      </c>
      <c r="AP282" s="65">
        <f t="shared" si="113"/>
        <v>0</v>
      </c>
      <c r="AQ282" s="16">
        <f t="shared" si="114"/>
        <v>1</v>
      </c>
      <c r="AR282" s="16">
        <f t="shared" si="115"/>
        <v>0</v>
      </c>
      <c r="AS282" s="66">
        <f t="shared" si="116"/>
        <v>0</v>
      </c>
      <c r="AT282" s="67">
        <f t="shared" si="117"/>
        <v>0</v>
      </c>
      <c r="AU282" s="68">
        <f t="shared" si="80"/>
        <v>0</v>
      </c>
      <c r="AV282" s="19">
        <f t="shared" si="118"/>
        <v>0</v>
      </c>
      <c r="AW282" s="69">
        <f t="shared" si="119"/>
        <v>0</v>
      </c>
      <c r="AY282" s="65">
        <f t="shared" si="120"/>
        <v>1</v>
      </c>
      <c r="AZ282" s="16">
        <f t="shared" si="121"/>
        <v>1</v>
      </c>
      <c r="BA282" s="16">
        <f t="shared" si="122"/>
        <v>1</v>
      </c>
      <c r="BB282" s="70">
        <f t="shared" si="123"/>
        <v>6615.55</v>
      </c>
      <c r="BC282" s="67">
        <f t="shared" si="124"/>
        <v>42770.1</v>
      </c>
      <c r="BD282" s="71">
        <f t="shared" si="125"/>
        <v>2.1</v>
      </c>
      <c r="BE282" s="19">
        <f t="shared" si="126"/>
        <v>9.7165089400612775E-3</v>
      </c>
      <c r="BF282" s="69">
        <f t="shared" si="127"/>
        <v>1.8335693312672739E-4</v>
      </c>
      <c r="BH282" s="72">
        <f t="shared" si="128"/>
        <v>42770.1</v>
      </c>
      <c r="BI282" s="73">
        <f t="shared" si="129"/>
        <v>1</v>
      </c>
      <c r="BJ282" s="74">
        <f t="shared" si="130"/>
        <v>3.8023436812871553E-3</v>
      </c>
      <c r="BK282" s="75">
        <f t="shared" si="131"/>
        <v>7.1752733455541541E-5</v>
      </c>
      <c r="BM282" s="76">
        <f t="shared" si="132"/>
        <v>1</v>
      </c>
    </row>
    <row r="283" spans="1:65" ht="12.75" customHeight="1" x14ac:dyDescent="0.2">
      <c r="A283" s="47"/>
      <c r="B283" s="48" t="s">
        <v>575</v>
      </c>
      <c r="C283" s="49">
        <v>50000</v>
      </c>
      <c r="D283" s="50">
        <v>13</v>
      </c>
      <c r="E283" s="49">
        <v>37278.550000000003</v>
      </c>
      <c r="F283" s="50" t="s">
        <v>63</v>
      </c>
      <c r="G283" s="51">
        <v>45138</v>
      </c>
      <c r="H283" s="52" t="s">
        <v>56</v>
      </c>
      <c r="I283" s="51">
        <v>45246</v>
      </c>
      <c r="J283" s="52">
        <f t="shared" si="98"/>
        <v>3.6</v>
      </c>
      <c r="K283" s="53" t="s">
        <v>576</v>
      </c>
      <c r="L283" s="53">
        <v>40778.550000000003</v>
      </c>
      <c r="M283" s="54">
        <v>582.29</v>
      </c>
      <c r="N283" s="54">
        <v>7048.08</v>
      </c>
      <c r="O283" s="54">
        <v>1907.38</v>
      </c>
      <c r="P283" s="54">
        <f t="shared" si="69"/>
        <v>0</v>
      </c>
      <c r="Q283" s="54">
        <f t="shared" si="70"/>
        <v>6037.75</v>
      </c>
      <c r="R283" s="55">
        <f t="shared" si="71"/>
        <v>0.16196311283566553</v>
      </c>
      <c r="S283" s="55">
        <f t="shared" si="72"/>
        <v>0.83803688716433444</v>
      </c>
      <c r="T283" s="56"/>
      <c r="V283" s="57">
        <v>203.5</v>
      </c>
      <c r="W283" s="58"/>
      <c r="X283" s="58">
        <v>14.25</v>
      </c>
      <c r="Y283" s="58"/>
      <c r="Z283" s="58">
        <f>115.5+92.4+137.28</f>
        <v>345.18</v>
      </c>
      <c r="AA283" s="58">
        <v>1024.9000000000001</v>
      </c>
      <c r="AB283" s="58">
        <f t="shared" si="137"/>
        <v>1587.8300000000002</v>
      </c>
      <c r="AC283" s="58">
        <v>37278.550000000003</v>
      </c>
      <c r="AD283" s="59">
        <v>1.4999999999999999E-2</v>
      </c>
      <c r="AE283" s="60">
        <f t="shared" si="144"/>
        <v>275.75913698630137</v>
      </c>
      <c r="AF283" s="61"/>
      <c r="AG283" s="59"/>
      <c r="AH283" s="60"/>
      <c r="AI283" s="62">
        <f t="shared" si="146"/>
        <v>37278.550000000003</v>
      </c>
      <c r="AJ283" s="62">
        <f t="shared" si="141"/>
        <v>275.75913698630137</v>
      </c>
      <c r="AK283" s="63">
        <f t="shared" si="147"/>
        <v>275.75913698630137</v>
      </c>
      <c r="AL283" s="64">
        <f t="shared" si="143"/>
        <v>635.18913698630138</v>
      </c>
      <c r="AM283" s="5">
        <v>237.11</v>
      </c>
      <c r="AN283" s="5">
        <f>AM283+Z283</f>
        <v>582.29</v>
      </c>
      <c r="AP283" s="65">
        <f t="shared" si="113"/>
        <v>0</v>
      </c>
      <c r="AQ283" s="16">
        <f t="shared" si="114"/>
        <v>1</v>
      </c>
      <c r="AR283" s="16">
        <f t="shared" si="115"/>
        <v>0</v>
      </c>
      <c r="AS283" s="66">
        <f t="shared" si="116"/>
        <v>0</v>
      </c>
      <c r="AT283" s="67">
        <f t="shared" si="117"/>
        <v>0</v>
      </c>
      <c r="AU283" s="68">
        <f t="shared" si="80"/>
        <v>0</v>
      </c>
      <c r="AV283" s="19">
        <f t="shared" si="118"/>
        <v>0</v>
      </c>
      <c r="AW283" s="69">
        <f t="shared" si="119"/>
        <v>0</v>
      </c>
      <c r="AY283" s="65">
        <f t="shared" si="120"/>
        <v>1</v>
      </c>
      <c r="AZ283" s="16">
        <f t="shared" si="121"/>
        <v>1</v>
      </c>
      <c r="BA283" s="16">
        <f t="shared" si="122"/>
        <v>1</v>
      </c>
      <c r="BB283" s="70">
        <f t="shared" si="123"/>
        <v>8955.4599999999991</v>
      </c>
      <c r="BC283" s="67">
        <f t="shared" si="124"/>
        <v>37278.550000000003</v>
      </c>
      <c r="BD283" s="71">
        <f t="shared" si="125"/>
        <v>3.6</v>
      </c>
      <c r="BE283" s="19">
        <f t="shared" si="126"/>
        <v>8.4689389163813359E-3</v>
      </c>
      <c r="BF283" s="69">
        <f t="shared" si="127"/>
        <v>1.3716557093122292E-3</v>
      </c>
      <c r="BH283" s="72">
        <f t="shared" si="128"/>
        <v>37278.550000000003</v>
      </c>
      <c r="BI283" s="73">
        <f t="shared" si="129"/>
        <v>1</v>
      </c>
      <c r="BJ283" s="74">
        <f t="shared" si="130"/>
        <v>3.3141343845360964E-3</v>
      </c>
      <c r="BK283" s="75">
        <f t="shared" si="131"/>
        <v>5.3676752127517868E-4</v>
      </c>
      <c r="BM283" s="76">
        <f t="shared" si="132"/>
        <v>1</v>
      </c>
    </row>
    <row r="284" spans="1:65" ht="12.75" customHeight="1" x14ac:dyDescent="0.2">
      <c r="A284" s="47"/>
      <c r="B284" s="48" t="s">
        <v>577</v>
      </c>
      <c r="C284" s="49">
        <v>54995</v>
      </c>
      <c r="D284" s="50">
        <v>13</v>
      </c>
      <c r="E284" s="49">
        <v>41974.96</v>
      </c>
      <c r="F284" s="50" t="s">
        <v>63</v>
      </c>
      <c r="G284" s="51">
        <v>45138</v>
      </c>
      <c r="H284" s="52" t="s">
        <v>56</v>
      </c>
      <c r="I284" s="51">
        <v>45623</v>
      </c>
      <c r="J284" s="52">
        <f t="shared" si="98"/>
        <v>16.166666666666668</v>
      </c>
      <c r="K284" s="53" t="s">
        <v>578</v>
      </c>
      <c r="L284" s="53">
        <v>50000</v>
      </c>
      <c r="M284" s="54">
        <v>587.50999999999988</v>
      </c>
      <c r="N284" s="54">
        <v>8035.18</v>
      </c>
      <c r="O284" s="54">
        <v>2061.5100000000002</v>
      </c>
      <c r="P284" s="54">
        <f t="shared" si="69"/>
        <v>0</v>
      </c>
      <c r="Q284" s="54">
        <f t="shared" si="70"/>
        <v>2659.16</v>
      </c>
      <c r="R284" s="55">
        <f t="shared" si="71"/>
        <v>6.335110265739384E-2</v>
      </c>
      <c r="S284" s="55">
        <f t="shared" si="72"/>
        <v>0.93664889734260615</v>
      </c>
      <c r="T284" s="56"/>
      <c r="V284" s="57"/>
      <c r="W284" s="58"/>
      <c r="X284" s="58"/>
      <c r="Y284" s="58"/>
      <c r="Z284" s="58"/>
      <c r="AA284" s="58"/>
      <c r="AB284" s="58"/>
      <c r="AC284" s="58"/>
      <c r="AD284" s="59"/>
      <c r="AE284" s="60"/>
      <c r="AF284" s="61"/>
      <c r="AG284" s="59"/>
      <c r="AH284" s="60"/>
      <c r="AI284" s="62"/>
      <c r="AJ284" s="62"/>
      <c r="AK284" s="63"/>
      <c r="AL284" s="64"/>
      <c r="AP284" s="65">
        <f t="shared" si="113"/>
        <v>0</v>
      </c>
      <c r="AQ284" s="16">
        <f t="shared" si="114"/>
        <v>1</v>
      </c>
      <c r="AR284" s="16">
        <f t="shared" si="115"/>
        <v>0</v>
      </c>
      <c r="AS284" s="66">
        <f t="shared" si="116"/>
        <v>0</v>
      </c>
      <c r="AT284" s="67">
        <f t="shared" si="117"/>
        <v>0</v>
      </c>
      <c r="AU284" s="68">
        <f t="shared" si="80"/>
        <v>0</v>
      </c>
      <c r="AV284" s="19">
        <f t="shared" si="118"/>
        <v>0</v>
      </c>
      <c r="AW284" s="69">
        <f t="shared" si="119"/>
        <v>0</v>
      </c>
      <c r="AY284" s="65">
        <f t="shared" si="120"/>
        <v>1</v>
      </c>
      <c r="AZ284" s="16">
        <f t="shared" si="121"/>
        <v>1</v>
      </c>
      <c r="BA284" s="16">
        <f t="shared" si="122"/>
        <v>1</v>
      </c>
      <c r="BB284" s="70">
        <f t="shared" si="123"/>
        <v>10096.69</v>
      </c>
      <c r="BC284" s="67">
        <f t="shared" si="124"/>
        <v>41974.96</v>
      </c>
      <c r="BD284" s="71">
        <f t="shared" si="125"/>
        <v>16.166666666666668</v>
      </c>
      <c r="BE284" s="19">
        <f t="shared" si="126"/>
        <v>9.5358690790695953E-3</v>
      </c>
      <c r="BF284" s="69">
        <f t="shared" si="127"/>
        <v>6.0410782095560557E-4</v>
      </c>
      <c r="BH284" s="72">
        <f t="shared" si="128"/>
        <v>41974.96</v>
      </c>
      <c r="BI284" s="73">
        <f t="shared" si="129"/>
        <v>1</v>
      </c>
      <c r="BJ284" s="74">
        <f t="shared" si="130"/>
        <v>3.7316542147032877E-3</v>
      </c>
      <c r="BK284" s="75">
        <f t="shared" si="131"/>
        <v>2.3640440923756436E-4</v>
      </c>
      <c r="BM284" s="76">
        <f t="shared" si="132"/>
        <v>1</v>
      </c>
    </row>
    <row r="285" spans="1:65" ht="12.75" customHeight="1" x14ac:dyDescent="0.2">
      <c r="A285" s="47"/>
      <c r="B285" s="48" t="s">
        <v>579</v>
      </c>
      <c r="C285" s="49">
        <v>49995</v>
      </c>
      <c r="D285" s="50">
        <v>13</v>
      </c>
      <c r="E285" s="49">
        <v>37466.32</v>
      </c>
      <c r="F285" s="50" t="s">
        <v>63</v>
      </c>
      <c r="G285" s="51">
        <v>45138</v>
      </c>
      <c r="H285" s="52" t="s">
        <v>56</v>
      </c>
      <c r="I285" s="51">
        <v>45168</v>
      </c>
      <c r="J285" s="52">
        <f t="shared" si="98"/>
        <v>1</v>
      </c>
      <c r="K285" s="53" t="s">
        <v>580</v>
      </c>
      <c r="L285" s="53">
        <v>52000</v>
      </c>
      <c r="M285" s="54">
        <v>488.19</v>
      </c>
      <c r="N285" s="54">
        <v>4848.92</v>
      </c>
      <c r="O285" s="54">
        <v>0</v>
      </c>
      <c r="P285" s="54">
        <f t="shared" si="69"/>
        <v>0</v>
      </c>
      <c r="Q285" s="54">
        <f t="shared" si="70"/>
        <v>0</v>
      </c>
      <c r="R285" s="55">
        <f t="shared" si="71"/>
        <v>0</v>
      </c>
      <c r="S285" s="55">
        <f t="shared" si="72"/>
        <v>1</v>
      </c>
      <c r="T285" s="56"/>
      <c r="V285" s="57">
        <v>69.44</v>
      </c>
      <c r="W285" s="58"/>
      <c r="X285" s="58">
        <v>4.8600000000000003</v>
      </c>
      <c r="Y285" s="58"/>
      <c r="Z285" s="58">
        <f>31.5+105.24+69.44</f>
        <v>206.18</v>
      </c>
      <c r="AA285" s="58">
        <v>608.89</v>
      </c>
      <c r="AB285" s="58">
        <f t="shared" ref="AB285:AB287" si="148">AA285+Z285+Y285+X285+V285+W285</f>
        <v>889.36999999999989</v>
      </c>
      <c r="AC285" s="58">
        <v>37466.32</v>
      </c>
      <c r="AD285" s="59">
        <v>1.4999999999999999E-2</v>
      </c>
      <c r="AE285" s="60">
        <f t="shared" ref="AE285:AE287" si="149">((AC285*AD285)/365)*180</f>
        <v>277.14812054794515</v>
      </c>
      <c r="AF285" s="61"/>
      <c r="AG285" s="59"/>
      <c r="AH285" s="60">
        <f>((AF285*AG285)/365)*180</f>
        <v>0</v>
      </c>
      <c r="AI285" s="62">
        <f>AC285+AF285</f>
        <v>37466.32</v>
      </c>
      <c r="AJ285" s="62">
        <f t="shared" ref="AJ285:AJ287" si="150">AE285+AH285</f>
        <v>277.14812054794515</v>
      </c>
      <c r="AK285" s="63">
        <f t="shared" ref="AK285:AK287" si="151">IF(AJ285&lt;AA285,AJ285,AA285)</f>
        <v>277.14812054794515</v>
      </c>
      <c r="AL285" s="64">
        <f t="shared" ref="AL285:AL287" si="152">W285+X285+Y285+Z285+AK285</f>
        <v>488.18812054794518</v>
      </c>
      <c r="AP285" s="65">
        <f t="shared" si="113"/>
        <v>0</v>
      </c>
      <c r="AQ285" s="16">
        <f t="shared" si="114"/>
        <v>1</v>
      </c>
      <c r="AR285" s="16">
        <f t="shared" si="115"/>
        <v>0</v>
      </c>
      <c r="AS285" s="66">
        <f t="shared" si="116"/>
        <v>0</v>
      </c>
      <c r="AT285" s="67">
        <f t="shared" si="117"/>
        <v>0</v>
      </c>
      <c r="AU285" s="68">
        <f t="shared" si="80"/>
        <v>0</v>
      </c>
      <c r="AV285" s="19">
        <f t="shared" si="118"/>
        <v>0</v>
      </c>
      <c r="AW285" s="69">
        <f t="shared" si="119"/>
        <v>0</v>
      </c>
      <c r="AY285" s="65">
        <f t="shared" si="120"/>
        <v>1</v>
      </c>
      <c r="AZ285" s="16">
        <f t="shared" si="121"/>
        <v>1</v>
      </c>
      <c r="BA285" s="16">
        <f t="shared" si="122"/>
        <v>1</v>
      </c>
      <c r="BB285" s="70">
        <f t="shared" si="123"/>
        <v>4848.92</v>
      </c>
      <c r="BC285" s="67">
        <f t="shared" si="124"/>
        <v>37466.32</v>
      </c>
      <c r="BD285" s="71">
        <f t="shared" si="125"/>
        <v>1</v>
      </c>
      <c r="BE285" s="19">
        <f t="shared" si="126"/>
        <v>8.5115964945416695E-3</v>
      </c>
      <c r="BF285" s="69">
        <f t="shared" si="127"/>
        <v>0</v>
      </c>
      <c r="BH285" s="72">
        <f t="shared" si="128"/>
        <v>37466.32</v>
      </c>
      <c r="BI285" s="73">
        <f t="shared" si="129"/>
        <v>1</v>
      </c>
      <c r="BJ285" s="74">
        <f t="shared" si="130"/>
        <v>3.3308274966175572E-3</v>
      </c>
      <c r="BK285" s="75">
        <f t="shared" si="131"/>
        <v>0</v>
      </c>
      <c r="BM285" s="76">
        <f t="shared" si="132"/>
        <v>1</v>
      </c>
    </row>
    <row r="286" spans="1:65" ht="12.75" customHeight="1" x14ac:dyDescent="0.2">
      <c r="A286" s="47"/>
      <c r="B286" s="48" t="s">
        <v>581</v>
      </c>
      <c r="C286" s="49">
        <v>28900</v>
      </c>
      <c r="D286" s="50">
        <v>13</v>
      </c>
      <c r="E286" s="49">
        <v>16265.11</v>
      </c>
      <c r="F286" s="50" t="s">
        <v>63</v>
      </c>
      <c r="G286" s="51">
        <v>45138</v>
      </c>
      <c r="H286" s="52" t="s">
        <v>56</v>
      </c>
      <c r="I286" s="51">
        <v>45391</v>
      </c>
      <c r="J286" s="52">
        <f t="shared" si="98"/>
        <v>8.4333333333333336</v>
      </c>
      <c r="K286" s="53" t="s">
        <v>582</v>
      </c>
      <c r="L286" s="53">
        <v>40000</v>
      </c>
      <c r="M286" s="54">
        <v>522.15</v>
      </c>
      <c r="N286" s="77">
        <v>5053.7999999999993</v>
      </c>
      <c r="O286" s="54">
        <v>2499.11</v>
      </c>
      <c r="P286" s="54">
        <f t="shared" si="69"/>
        <v>0</v>
      </c>
      <c r="Q286" s="54">
        <f t="shared" si="70"/>
        <v>0</v>
      </c>
      <c r="R286" s="55">
        <f t="shared" si="71"/>
        <v>0</v>
      </c>
      <c r="S286" s="55">
        <f t="shared" si="72"/>
        <v>1</v>
      </c>
      <c r="T286" s="56"/>
      <c r="V286" s="57">
        <v>224</v>
      </c>
      <c r="W286" s="58"/>
      <c r="X286" s="58">
        <v>15.68</v>
      </c>
      <c r="Y286" s="58"/>
      <c r="Z286" s="58">
        <f>107.52+78.12+99.4</f>
        <v>285.03999999999996</v>
      </c>
      <c r="AA286" s="58"/>
      <c r="AB286" s="58">
        <f t="shared" si="148"/>
        <v>524.72</v>
      </c>
      <c r="AC286" s="58">
        <v>16265.11</v>
      </c>
      <c r="AD286" s="59">
        <v>0</v>
      </c>
      <c r="AE286" s="60">
        <f t="shared" si="149"/>
        <v>0</v>
      </c>
      <c r="AF286" s="61"/>
      <c r="AG286" s="59"/>
      <c r="AH286" s="60"/>
      <c r="AI286" s="62"/>
      <c r="AJ286" s="62">
        <f t="shared" si="150"/>
        <v>0</v>
      </c>
      <c r="AK286" s="63">
        <f t="shared" si="151"/>
        <v>0</v>
      </c>
      <c r="AL286" s="64">
        <f t="shared" si="152"/>
        <v>300.71999999999997</v>
      </c>
      <c r="AM286" s="5">
        <v>237.11</v>
      </c>
      <c r="AN286" s="5">
        <f t="shared" ref="AN286:AN287" si="153">AM286+Z286</f>
        <v>522.15</v>
      </c>
      <c r="AP286" s="65">
        <f t="shared" si="113"/>
        <v>0</v>
      </c>
      <c r="AQ286" s="16">
        <f t="shared" si="114"/>
        <v>1</v>
      </c>
      <c r="AR286" s="16">
        <f t="shared" si="115"/>
        <v>0</v>
      </c>
      <c r="AS286" s="66">
        <f t="shared" si="116"/>
        <v>0</v>
      </c>
      <c r="AT286" s="67">
        <f t="shared" si="117"/>
        <v>0</v>
      </c>
      <c r="AU286" s="68">
        <f t="shared" si="80"/>
        <v>0</v>
      </c>
      <c r="AV286" s="19">
        <f t="shared" si="118"/>
        <v>0</v>
      </c>
      <c r="AW286" s="69">
        <f t="shared" si="119"/>
        <v>0</v>
      </c>
      <c r="AY286" s="65">
        <f t="shared" si="120"/>
        <v>1</v>
      </c>
      <c r="AZ286" s="16">
        <f t="shared" si="121"/>
        <v>1</v>
      </c>
      <c r="BA286" s="16">
        <f t="shared" si="122"/>
        <v>1</v>
      </c>
      <c r="BB286" s="70">
        <f t="shared" si="123"/>
        <v>7552.91</v>
      </c>
      <c r="BC286" s="67">
        <f t="shared" si="124"/>
        <v>16265.11</v>
      </c>
      <c r="BD286" s="71">
        <f t="shared" si="125"/>
        <v>8.4333333333333336</v>
      </c>
      <c r="BE286" s="19">
        <f t="shared" si="126"/>
        <v>3.6951067854898655E-3</v>
      </c>
      <c r="BF286" s="69">
        <f t="shared" si="127"/>
        <v>0</v>
      </c>
      <c r="BH286" s="72">
        <f t="shared" si="128"/>
        <v>16265.11</v>
      </c>
      <c r="BI286" s="73">
        <f t="shared" si="129"/>
        <v>1</v>
      </c>
      <c r="BJ286" s="74">
        <f t="shared" si="130"/>
        <v>1.4459993835399152E-3</v>
      </c>
      <c r="BK286" s="75">
        <f t="shared" si="131"/>
        <v>0</v>
      </c>
      <c r="BM286" s="76">
        <f t="shared" si="132"/>
        <v>1</v>
      </c>
    </row>
    <row r="287" spans="1:65" ht="12.75" customHeight="1" x14ac:dyDescent="0.2">
      <c r="A287" s="47"/>
      <c r="B287" s="48" t="s">
        <v>583</v>
      </c>
      <c r="C287" s="49">
        <v>39997.86</v>
      </c>
      <c r="D287" s="50">
        <v>13</v>
      </c>
      <c r="E287" s="49">
        <v>34279.01</v>
      </c>
      <c r="F287" s="50" t="s">
        <v>55</v>
      </c>
      <c r="G287" s="51">
        <v>45099</v>
      </c>
      <c r="H287" s="52" t="s">
        <v>56</v>
      </c>
      <c r="I287" s="51">
        <v>45136</v>
      </c>
      <c r="J287" s="52">
        <f t="shared" si="98"/>
        <v>1.2333333333333334</v>
      </c>
      <c r="K287" s="53" t="s">
        <v>584</v>
      </c>
      <c r="L287" s="53">
        <v>45000</v>
      </c>
      <c r="M287" s="54">
        <v>764.8599999999999</v>
      </c>
      <c r="N287" s="54">
        <v>5655.7</v>
      </c>
      <c r="O287" s="54">
        <v>0</v>
      </c>
      <c r="P287" s="54">
        <f t="shared" si="69"/>
        <v>0</v>
      </c>
      <c r="Q287" s="54">
        <f t="shared" si="70"/>
        <v>0</v>
      </c>
      <c r="R287" s="55">
        <f t="shared" si="71"/>
        <v>0</v>
      </c>
      <c r="S287" s="55">
        <f t="shared" si="72"/>
        <v>1</v>
      </c>
      <c r="T287" s="56"/>
      <c r="V287" s="57">
        <v>474</v>
      </c>
      <c r="W287" s="58"/>
      <c r="X287" s="58">
        <v>33.18</v>
      </c>
      <c r="Y287" s="58"/>
      <c r="Z287" s="58">
        <f>109.2+155.2+226</f>
        <v>490.4</v>
      </c>
      <c r="AA287" s="58">
        <v>286.67</v>
      </c>
      <c r="AB287" s="58">
        <f t="shared" si="148"/>
        <v>1284.25</v>
      </c>
      <c r="AC287" s="58">
        <v>34279.01</v>
      </c>
      <c r="AD287" s="59">
        <v>2.5000000000000001E-3</v>
      </c>
      <c r="AE287" s="60">
        <f t="shared" si="149"/>
        <v>42.261793150684937</v>
      </c>
      <c r="AF287" s="61"/>
      <c r="AG287" s="59"/>
      <c r="AH287" s="60">
        <f>((AF287*AG287)/365)*180</f>
        <v>0</v>
      </c>
      <c r="AI287" s="62">
        <f>AC287+AF287</f>
        <v>34279.01</v>
      </c>
      <c r="AJ287" s="62">
        <f t="shared" si="150"/>
        <v>42.261793150684937</v>
      </c>
      <c r="AK287" s="63">
        <f t="shared" si="151"/>
        <v>42.261793150684937</v>
      </c>
      <c r="AL287" s="64">
        <f t="shared" si="152"/>
        <v>565.84179315068491</v>
      </c>
      <c r="AM287" s="5">
        <v>274.45999999999998</v>
      </c>
      <c r="AN287" s="5">
        <f t="shared" si="153"/>
        <v>764.8599999999999</v>
      </c>
      <c r="AP287" s="65">
        <f t="shared" si="113"/>
        <v>1</v>
      </c>
      <c r="AQ287" s="16">
        <f t="shared" si="114"/>
        <v>1</v>
      </c>
      <c r="AR287" s="16">
        <f t="shared" si="115"/>
        <v>1</v>
      </c>
      <c r="AS287" s="66">
        <f t="shared" si="116"/>
        <v>5655.7</v>
      </c>
      <c r="AT287" s="67">
        <f t="shared" si="117"/>
        <v>34279.01</v>
      </c>
      <c r="AU287" s="68">
        <f t="shared" si="80"/>
        <v>1.2333333333333334</v>
      </c>
      <c r="AV287" s="19">
        <f t="shared" si="118"/>
        <v>5.0067530678330405E-3</v>
      </c>
      <c r="AW287" s="69">
        <f t="shared" si="119"/>
        <v>0</v>
      </c>
      <c r="AY287" s="65">
        <f t="shared" si="120"/>
        <v>0</v>
      </c>
      <c r="AZ287" s="16">
        <f t="shared" si="121"/>
        <v>1</v>
      </c>
      <c r="BA287" s="16">
        <f t="shared" si="122"/>
        <v>0</v>
      </c>
      <c r="BB287" s="70">
        <f t="shared" si="123"/>
        <v>0</v>
      </c>
      <c r="BC287" s="67">
        <f t="shared" si="124"/>
        <v>0</v>
      </c>
      <c r="BD287" s="71">
        <f t="shared" si="125"/>
        <v>0</v>
      </c>
      <c r="BE287" s="19">
        <f t="shared" si="126"/>
        <v>0</v>
      </c>
      <c r="BF287" s="69">
        <f t="shared" si="127"/>
        <v>0</v>
      </c>
      <c r="BH287" s="72">
        <f t="shared" si="128"/>
        <v>34279.01</v>
      </c>
      <c r="BI287" s="73">
        <f t="shared" si="129"/>
        <v>1</v>
      </c>
      <c r="BJ287" s="74">
        <f t="shared" si="130"/>
        <v>3.0474695423737428E-3</v>
      </c>
      <c r="BK287" s="75">
        <f t="shared" si="131"/>
        <v>0</v>
      </c>
      <c r="BM287" s="76">
        <f t="shared" si="132"/>
        <v>1</v>
      </c>
    </row>
    <row r="288" spans="1:65" ht="12.75" customHeight="1" x14ac:dyDescent="0.2">
      <c r="A288" s="47"/>
      <c r="B288" s="48" t="s">
        <v>585</v>
      </c>
      <c r="C288" s="49">
        <v>42500</v>
      </c>
      <c r="D288" s="50">
        <v>13</v>
      </c>
      <c r="E288" s="49">
        <v>39869.129999999997</v>
      </c>
      <c r="F288" s="50" t="s">
        <v>63</v>
      </c>
      <c r="G288" s="51">
        <v>45351</v>
      </c>
      <c r="H288" s="52" t="s">
        <v>56</v>
      </c>
      <c r="I288" s="51">
        <v>45588</v>
      </c>
      <c r="J288" s="52">
        <f t="shared" si="98"/>
        <v>7.9</v>
      </c>
      <c r="K288" s="53" t="s">
        <v>586</v>
      </c>
      <c r="L288" s="53">
        <v>45000</v>
      </c>
      <c r="M288" s="54">
        <v>1275.81</v>
      </c>
      <c r="N288" s="54">
        <v>7841.4400000000005</v>
      </c>
      <c r="O288" s="54">
        <v>2787.84</v>
      </c>
      <c r="P288" s="54">
        <f t="shared" si="69"/>
        <v>0</v>
      </c>
      <c r="Q288" s="54">
        <f t="shared" si="70"/>
        <v>6774.2199999999975</v>
      </c>
      <c r="R288" s="55">
        <f t="shared" si="71"/>
        <v>0.16991140764797219</v>
      </c>
      <c r="S288" s="55">
        <f t="shared" si="72"/>
        <v>0.83008859235202781</v>
      </c>
      <c r="T288" s="56"/>
      <c r="V288" s="57"/>
      <c r="W288" s="58"/>
      <c r="X288" s="58"/>
      <c r="Y288" s="58"/>
      <c r="Z288" s="58"/>
      <c r="AA288" s="58"/>
      <c r="AB288" s="58"/>
      <c r="AC288" s="58"/>
      <c r="AD288" s="59"/>
      <c r="AE288" s="60"/>
      <c r="AF288" s="61"/>
      <c r="AG288" s="59"/>
      <c r="AH288" s="60"/>
      <c r="AI288" s="62"/>
      <c r="AJ288" s="62"/>
      <c r="AK288" s="63"/>
      <c r="AL288" s="64"/>
      <c r="AP288" s="65">
        <f t="shared" si="113"/>
        <v>0</v>
      </c>
      <c r="AQ288" s="16">
        <f t="shared" si="114"/>
        <v>1</v>
      </c>
      <c r="AR288" s="16">
        <f t="shared" si="115"/>
        <v>0</v>
      </c>
      <c r="AS288" s="66">
        <f t="shared" si="116"/>
        <v>0</v>
      </c>
      <c r="AT288" s="67">
        <f t="shared" si="117"/>
        <v>0</v>
      </c>
      <c r="AU288" s="68">
        <f t="shared" si="80"/>
        <v>0</v>
      </c>
      <c r="AV288" s="19">
        <f t="shared" si="118"/>
        <v>0</v>
      </c>
      <c r="AW288" s="69">
        <f t="shared" si="119"/>
        <v>0</v>
      </c>
      <c r="AY288" s="65">
        <f t="shared" si="120"/>
        <v>1</v>
      </c>
      <c r="AZ288" s="16">
        <f t="shared" si="121"/>
        <v>1</v>
      </c>
      <c r="BA288" s="16">
        <f t="shared" si="122"/>
        <v>1</v>
      </c>
      <c r="BB288" s="70">
        <f t="shared" si="123"/>
        <v>10629.28</v>
      </c>
      <c r="BC288" s="67">
        <f t="shared" si="124"/>
        <v>39869.129999999997</v>
      </c>
      <c r="BD288" s="71">
        <f t="shared" si="125"/>
        <v>7.9</v>
      </c>
      <c r="BE288" s="19">
        <f t="shared" si="126"/>
        <v>9.0574667367498626E-3</v>
      </c>
      <c r="BF288" s="69">
        <f t="shared" si="127"/>
        <v>1.5389669229658543E-3</v>
      </c>
      <c r="BH288" s="72">
        <f t="shared" si="128"/>
        <v>39869.129999999997</v>
      </c>
      <c r="BI288" s="73">
        <f t="shared" si="129"/>
        <v>1</v>
      </c>
      <c r="BJ288" s="74">
        <f t="shared" si="130"/>
        <v>3.5444419006248795E-3</v>
      </c>
      <c r="BK288" s="75">
        <f t="shared" si="131"/>
        <v>6.022411126616272E-4</v>
      </c>
      <c r="BM288" s="76">
        <f t="shared" si="132"/>
        <v>1</v>
      </c>
    </row>
    <row r="289" spans="1:65" ht="12.75" customHeight="1" x14ac:dyDescent="0.2">
      <c r="A289" s="47"/>
      <c r="B289" s="48" t="s">
        <v>587</v>
      </c>
      <c r="C289" s="49">
        <v>50000</v>
      </c>
      <c r="D289" s="50">
        <v>13</v>
      </c>
      <c r="E289" s="49">
        <v>34515.65</v>
      </c>
      <c r="F289" s="50" t="s">
        <v>63</v>
      </c>
      <c r="G289" s="51">
        <v>45141</v>
      </c>
      <c r="H289" s="52" t="s">
        <v>56</v>
      </c>
      <c r="I289" s="51">
        <v>45246</v>
      </c>
      <c r="J289" s="52">
        <f t="shared" si="98"/>
        <v>3.5</v>
      </c>
      <c r="K289" s="53" t="s">
        <v>588</v>
      </c>
      <c r="L289" s="53">
        <v>45000</v>
      </c>
      <c r="M289" s="54">
        <v>919.36000000000013</v>
      </c>
      <c r="N289" s="54">
        <v>6062.28</v>
      </c>
      <c r="O289" s="54">
        <v>120</v>
      </c>
      <c r="P289" s="54">
        <f t="shared" si="69"/>
        <v>0</v>
      </c>
      <c r="Q289" s="54">
        <f t="shared" si="70"/>
        <v>0</v>
      </c>
      <c r="R289" s="55">
        <f t="shared" si="71"/>
        <v>0</v>
      </c>
      <c r="S289" s="55">
        <f t="shared" si="72"/>
        <v>1</v>
      </c>
      <c r="T289" s="56"/>
      <c r="V289" s="57">
        <v>157.25</v>
      </c>
      <c r="W289" s="58"/>
      <c r="X289" s="58">
        <v>11.01</v>
      </c>
      <c r="Y289" s="58"/>
      <c r="Z289" s="58">
        <f>89.25+137.53+106.76</f>
        <v>333.54</v>
      </c>
      <c r="AA289" s="58">
        <v>835.7</v>
      </c>
      <c r="AB289" s="58">
        <f>AA289+Z289+Y289+X289+V289+W289</f>
        <v>1337.5</v>
      </c>
      <c r="AC289" s="58">
        <v>34515.65</v>
      </c>
      <c r="AD289" s="59">
        <v>1.7500000000000002E-2</v>
      </c>
      <c r="AE289" s="60">
        <f>((AC289*AD289)/365)*180</f>
        <v>297.87478767123292</v>
      </c>
      <c r="AF289" s="61"/>
      <c r="AG289" s="59"/>
      <c r="AH289" s="60">
        <f>((AF289*AG289)/365)*180</f>
        <v>0</v>
      </c>
      <c r="AI289" s="62">
        <f>AC289+AF289</f>
        <v>34515.65</v>
      </c>
      <c r="AJ289" s="62">
        <f>AE289+AH289</f>
        <v>297.87478767123292</v>
      </c>
      <c r="AK289" s="63">
        <f>IF(AJ289&lt;AA289,AJ289,AA289)</f>
        <v>297.87478767123292</v>
      </c>
      <c r="AL289" s="64">
        <f>W289+X289+Y289+Z289+AK289</f>
        <v>642.42478767123293</v>
      </c>
      <c r="AM289" s="5">
        <v>585.82000000000005</v>
      </c>
      <c r="AN289" s="5">
        <f>AM289+Z289</f>
        <v>919.36000000000013</v>
      </c>
      <c r="AP289" s="65">
        <f t="shared" si="113"/>
        <v>0</v>
      </c>
      <c r="AQ289" s="16">
        <f t="shared" si="114"/>
        <v>1</v>
      </c>
      <c r="AR289" s="16">
        <f t="shared" si="115"/>
        <v>0</v>
      </c>
      <c r="AS289" s="66">
        <f t="shared" si="116"/>
        <v>0</v>
      </c>
      <c r="AT289" s="67">
        <f t="shared" si="117"/>
        <v>0</v>
      </c>
      <c r="AU289" s="68">
        <f t="shared" si="80"/>
        <v>0</v>
      </c>
      <c r="AV289" s="19">
        <f t="shared" si="118"/>
        <v>0</v>
      </c>
      <c r="AW289" s="69">
        <f t="shared" si="119"/>
        <v>0</v>
      </c>
      <c r="AY289" s="65">
        <f t="shared" si="120"/>
        <v>1</v>
      </c>
      <c r="AZ289" s="16">
        <f t="shared" si="121"/>
        <v>1</v>
      </c>
      <c r="BA289" s="16">
        <f t="shared" si="122"/>
        <v>1</v>
      </c>
      <c r="BB289" s="70">
        <f t="shared" si="123"/>
        <v>6182.28</v>
      </c>
      <c r="BC289" s="67">
        <f t="shared" si="124"/>
        <v>34515.65</v>
      </c>
      <c r="BD289" s="71">
        <f t="shared" si="125"/>
        <v>3.5</v>
      </c>
      <c r="BE289" s="19">
        <f t="shared" si="126"/>
        <v>7.8412634479934837E-3</v>
      </c>
      <c r="BF289" s="69">
        <f t="shared" si="127"/>
        <v>0</v>
      </c>
      <c r="BH289" s="72">
        <f t="shared" si="128"/>
        <v>34515.65</v>
      </c>
      <c r="BI289" s="73">
        <f t="shared" si="129"/>
        <v>1</v>
      </c>
      <c r="BJ289" s="74">
        <f t="shared" si="130"/>
        <v>3.0685072909116184E-3</v>
      </c>
      <c r="BK289" s="75">
        <f t="shared" si="131"/>
        <v>0</v>
      </c>
      <c r="BM289" s="76">
        <f t="shared" si="132"/>
        <v>1</v>
      </c>
    </row>
    <row r="290" spans="1:65" ht="12.75" customHeight="1" x14ac:dyDescent="0.2">
      <c r="A290" s="47"/>
      <c r="B290" s="48" t="s">
        <v>589</v>
      </c>
      <c r="C290" s="49">
        <v>49500</v>
      </c>
      <c r="D290" s="50">
        <v>13</v>
      </c>
      <c r="E290" s="49">
        <v>45302.1</v>
      </c>
      <c r="F290" s="50" t="s">
        <v>63</v>
      </c>
      <c r="G290" s="51">
        <v>45210</v>
      </c>
      <c r="H290" s="52" t="s">
        <v>56</v>
      </c>
      <c r="I290" s="51">
        <v>45442</v>
      </c>
      <c r="J290" s="52">
        <f t="shared" si="98"/>
        <v>7.7333333333333334</v>
      </c>
      <c r="K290" s="53" t="s">
        <v>590</v>
      </c>
      <c r="L290" s="53">
        <v>49000</v>
      </c>
      <c r="M290" s="54">
        <v>1374.8100000000002</v>
      </c>
      <c r="N290" s="77">
        <v>7172.7400000000007</v>
      </c>
      <c r="O290" s="54">
        <v>1698.56</v>
      </c>
      <c r="P290" s="54">
        <f t="shared" si="69"/>
        <v>0</v>
      </c>
      <c r="Q290" s="54">
        <f t="shared" si="70"/>
        <v>6548.2099999999991</v>
      </c>
      <c r="R290" s="55">
        <f t="shared" si="71"/>
        <v>0.14454539635027955</v>
      </c>
      <c r="S290" s="55">
        <f t="shared" si="72"/>
        <v>0.85545460364972048</v>
      </c>
      <c r="T290" s="56"/>
      <c r="V290" s="57"/>
      <c r="W290" s="58"/>
      <c r="X290" s="58"/>
      <c r="Y290" s="58"/>
      <c r="Z290" s="58"/>
      <c r="AA290" s="58"/>
      <c r="AB290" s="58"/>
      <c r="AC290" s="58"/>
      <c r="AD290" s="59"/>
      <c r="AE290" s="60"/>
      <c r="AF290" s="61"/>
      <c r="AG290" s="59"/>
      <c r="AH290" s="60"/>
      <c r="AI290" s="62"/>
      <c r="AJ290" s="62"/>
      <c r="AK290" s="63"/>
      <c r="AL290" s="64"/>
      <c r="AP290" s="65">
        <f t="shared" si="113"/>
        <v>0</v>
      </c>
      <c r="AQ290" s="16">
        <f t="shared" si="114"/>
        <v>1</v>
      </c>
      <c r="AR290" s="16">
        <f t="shared" si="115"/>
        <v>0</v>
      </c>
      <c r="AS290" s="66">
        <f t="shared" si="116"/>
        <v>0</v>
      </c>
      <c r="AT290" s="67">
        <f t="shared" si="117"/>
        <v>0</v>
      </c>
      <c r="AU290" s="68">
        <f t="shared" si="80"/>
        <v>0</v>
      </c>
      <c r="AV290" s="19">
        <f t="shared" si="118"/>
        <v>0</v>
      </c>
      <c r="AW290" s="69">
        <f t="shared" si="119"/>
        <v>0</v>
      </c>
      <c r="AY290" s="65">
        <f t="shared" si="120"/>
        <v>1</v>
      </c>
      <c r="AZ290" s="16">
        <f t="shared" si="121"/>
        <v>1</v>
      </c>
      <c r="BA290" s="16">
        <f t="shared" si="122"/>
        <v>1</v>
      </c>
      <c r="BB290" s="70">
        <f t="shared" si="123"/>
        <v>8871.3000000000011</v>
      </c>
      <c r="BC290" s="67">
        <f t="shared" si="124"/>
        <v>45302.1</v>
      </c>
      <c r="BD290" s="71">
        <f t="shared" si="125"/>
        <v>7.7333333333333334</v>
      </c>
      <c r="BE290" s="19">
        <f t="shared" si="126"/>
        <v>1.0291728559286745E-2</v>
      </c>
      <c r="BF290" s="69">
        <f t="shared" si="127"/>
        <v>1.4876219837315942E-3</v>
      </c>
      <c r="BH290" s="72">
        <f t="shared" si="128"/>
        <v>45302.1</v>
      </c>
      <c r="BI290" s="73">
        <f t="shared" si="129"/>
        <v>1</v>
      </c>
      <c r="BJ290" s="74">
        <f t="shared" si="130"/>
        <v>4.0274433233506313E-3</v>
      </c>
      <c r="BK290" s="75">
        <f t="shared" si="131"/>
        <v>5.8214839145200406E-4</v>
      </c>
      <c r="BM290" s="76">
        <f t="shared" si="132"/>
        <v>1</v>
      </c>
    </row>
    <row r="291" spans="1:65" ht="12.75" customHeight="1" x14ac:dyDescent="0.2">
      <c r="A291" s="47"/>
      <c r="B291" s="48" t="s">
        <v>591</v>
      </c>
      <c r="C291" s="49">
        <v>40500</v>
      </c>
      <c r="D291" s="50">
        <v>13</v>
      </c>
      <c r="E291" s="49">
        <v>40068.86</v>
      </c>
      <c r="F291" s="50" t="s">
        <v>55</v>
      </c>
      <c r="G291" s="51">
        <v>44679</v>
      </c>
      <c r="H291" s="52" t="s">
        <v>56</v>
      </c>
      <c r="I291" s="51">
        <v>45411</v>
      </c>
      <c r="J291" s="52">
        <f t="shared" si="98"/>
        <v>24.4</v>
      </c>
      <c r="K291" s="53" t="s">
        <v>592</v>
      </c>
      <c r="L291" s="53">
        <v>50000</v>
      </c>
      <c r="M291" s="54">
        <v>678.56982191780833</v>
      </c>
      <c r="N291" s="54">
        <v>10146.299999999999</v>
      </c>
      <c r="O291" s="54">
        <v>4317.76</v>
      </c>
      <c r="P291" s="54">
        <f t="shared" si="69"/>
        <v>0</v>
      </c>
      <c r="Q291" s="54">
        <f t="shared" si="70"/>
        <v>5211.4898219178085</v>
      </c>
      <c r="R291" s="55">
        <f t="shared" si="71"/>
        <v>0.13006334150554341</v>
      </c>
      <c r="S291" s="55">
        <f t="shared" si="72"/>
        <v>0.86993665849445656</v>
      </c>
      <c r="T291" s="56"/>
      <c r="V291" s="57">
        <v>407</v>
      </c>
      <c r="W291" s="58"/>
      <c r="X291" s="58">
        <v>28.49</v>
      </c>
      <c r="Y291" s="58"/>
      <c r="Z291" s="58">
        <f>10.5+118.9+273.68</f>
        <v>403.08000000000004</v>
      </c>
      <c r="AA291" s="58">
        <v>1815.45</v>
      </c>
      <c r="AB291" s="58">
        <f t="shared" ref="AB291:AB295" si="154">AA291+Z291+Y291+X291+V291+W291</f>
        <v>2654.02</v>
      </c>
      <c r="AC291" s="58">
        <v>40068.86</v>
      </c>
      <c r="AD291" s="59">
        <v>1.2500000000000001E-2</v>
      </c>
      <c r="AE291" s="60">
        <f t="shared" ref="AE291:AE295" si="155">((AC291*AD291)/365)*180</f>
        <v>246.99982191780825</v>
      </c>
      <c r="AF291" s="61"/>
      <c r="AG291" s="59"/>
      <c r="AH291" s="60"/>
      <c r="AI291" s="62"/>
      <c r="AJ291" s="62">
        <f t="shared" ref="AJ291:AJ295" si="156">AE291+AH291</f>
        <v>246.99982191780825</v>
      </c>
      <c r="AK291" s="63">
        <f t="shared" ref="AK291:AK295" si="157">IF(AJ291&lt;AA291,AJ291,AA291)</f>
        <v>246.99982191780825</v>
      </c>
      <c r="AL291" s="64">
        <f t="shared" ref="AL291:AL295" si="158">W291+X291+Y291+Z291+AK291</f>
        <v>678.56982191780833</v>
      </c>
      <c r="AP291" s="65">
        <f t="shared" si="113"/>
        <v>1</v>
      </c>
      <c r="AQ291" s="16">
        <f t="shared" si="114"/>
        <v>1</v>
      </c>
      <c r="AR291" s="16">
        <f t="shared" si="115"/>
        <v>1</v>
      </c>
      <c r="AS291" s="66">
        <f t="shared" si="116"/>
        <v>14464.06</v>
      </c>
      <c r="AT291" s="67">
        <f t="shared" si="117"/>
        <v>40068.86</v>
      </c>
      <c r="AU291" s="68">
        <f t="shared" si="80"/>
        <v>24.4</v>
      </c>
      <c r="AV291" s="19">
        <f t="shared" si="118"/>
        <v>5.8524119491657599E-3</v>
      </c>
      <c r="AW291" s="69">
        <f t="shared" si="119"/>
        <v>7.6118425397546916E-4</v>
      </c>
      <c r="AY291" s="65">
        <f t="shared" si="120"/>
        <v>0</v>
      </c>
      <c r="AZ291" s="16">
        <f t="shared" si="121"/>
        <v>1</v>
      </c>
      <c r="BA291" s="16">
        <f t="shared" si="122"/>
        <v>0</v>
      </c>
      <c r="BB291" s="70">
        <f t="shared" si="123"/>
        <v>0</v>
      </c>
      <c r="BC291" s="67">
        <f t="shared" si="124"/>
        <v>0</v>
      </c>
      <c r="BD291" s="71">
        <f t="shared" si="125"/>
        <v>0</v>
      </c>
      <c r="BE291" s="19">
        <f t="shared" si="126"/>
        <v>0</v>
      </c>
      <c r="BF291" s="69">
        <f t="shared" si="127"/>
        <v>0</v>
      </c>
      <c r="BH291" s="72">
        <f t="shared" si="128"/>
        <v>40068.86</v>
      </c>
      <c r="BI291" s="73">
        <f t="shared" si="129"/>
        <v>1</v>
      </c>
      <c r="BJ291" s="74">
        <f t="shared" si="130"/>
        <v>3.5621982795780147E-3</v>
      </c>
      <c r="BK291" s="75">
        <f t="shared" si="131"/>
        <v>4.6331141134721453E-4</v>
      </c>
      <c r="BM291" s="76">
        <f t="shared" si="132"/>
        <v>1</v>
      </c>
    </row>
    <row r="292" spans="1:65" ht="12.75" customHeight="1" x14ac:dyDescent="0.2">
      <c r="A292" s="47"/>
      <c r="B292" s="48" t="s">
        <v>593</v>
      </c>
      <c r="C292" s="49">
        <v>40000</v>
      </c>
      <c r="D292" s="50">
        <v>13</v>
      </c>
      <c r="E292" s="49">
        <v>29418.93</v>
      </c>
      <c r="F292" s="50" t="s">
        <v>63</v>
      </c>
      <c r="G292" s="51">
        <v>45162</v>
      </c>
      <c r="H292" s="52" t="s">
        <v>56</v>
      </c>
      <c r="I292" s="51">
        <v>45288</v>
      </c>
      <c r="J292" s="52">
        <f t="shared" si="98"/>
        <v>4.2</v>
      </c>
      <c r="K292" s="53" t="s">
        <v>594</v>
      </c>
      <c r="L292" s="53">
        <v>49000</v>
      </c>
      <c r="M292" s="54">
        <v>189.51</v>
      </c>
      <c r="N292" s="54">
        <v>10437.870000000001</v>
      </c>
      <c r="O292" s="54">
        <v>1689.42</v>
      </c>
      <c r="P292" s="54">
        <f t="shared" si="69"/>
        <v>0</v>
      </c>
      <c r="Q292" s="54">
        <f t="shared" si="70"/>
        <v>0</v>
      </c>
      <c r="R292" s="55">
        <f t="shared" si="71"/>
        <v>0</v>
      </c>
      <c r="S292" s="55">
        <f t="shared" si="72"/>
        <v>1</v>
      </c>
      <c r="T292" s="56"/>
      <c r="V292" s="57">
        <v>101.75</v>
      </c>
      <c r="W292" s="58"/>
      <c r="X292" s="58">
        <v>7.12</v>
      </c>
      <c r="Y292" s="58"/>
      <c r="Z292" s="58">
        <f>46.2+40.92+55.44</f>
        <v>142.56</v>
      </c>
      <c r="AA292" s="58">
        <v>77.95</v>
      </c>
      <c r="AB292" s="58">
        <f t="shared" si="154"/>
        <v>329.38</v>
      </c>
      <c r="AC292" s="58">
        <v>29418.93</v>
      </c>
      <c r="AD292" s="59">
        <v>2.5000000000000001E-3</v>
      </c>
      <c r="AE292" s="60">
        <f t="shared" si="155"/>
        <v>36.269913698630134</v>
      </c>
      <c r="AF292" s="61"/>
      <c r="AG292" s="59"/>
      <c r="AH292" s="60">
        <f t="shared" ref="AH292:AH295" si="159">((AF292*AG292)/365)*180</f>
        <v>0</v>
      </c>
      <c r="AI292" s="62">
        <f t="shared" ref="AI292:AI295" si="160">AC292+AF292</f>
        <v>29418.93</v>
      </c>
      <c r="AJ292" s="62">
        <f t="shared" si="156"/>
        <v>36.269913698630134</v>
      </c>
      <c r="AK292" s="63">
        <f t="shared" si="157"/>
        <v>36.269913698630134</v>
      </c>
      <c r="AL292" s="64">
        <f t="shared" si="158"/>
        <v>185.94991369863016</v>
      </c>
      <c r="AM292" s="5">
        <v>46.95</v>
      </c>
      <c r="AN292" s="5">
        <f>AM292+Z292</f>
        <v>189.51</v>
      </c>
      <c r="AP292" s="65">
        <f t="shared" si="113"/>
        <v>0</v>
      </c>
      <c r="AQ292" s="16">
        <f t="shared" si="114"/>
        <v>1</v>
      </c>
      <c r="AR292" s="16">
        <f t="shared" si="115"/>
        <v>0</v>
      </c>
      <c r="AS292" s="66">
        <f t="shared" si="116"/>
        <v>0</v>
      </c>
      <c r="AT292" s="67">
        <f t="shared" si="117"/>
        <v>0</v>
      </c>
      <c r="AU292" s="68">
        <f t="shared" si="80"/>
        <v>0</v>
      </c>
      <c r="AV292" s="19">
        <f t="shared" si="118"/>
        <v>0</v>
      </c>
      <c r="AW292" s="69">
        <f t="shared" si="119"/>
        <v>0</v>
      </c>
      <c r="AY292" s="65">
        <f t="shared" si="120"/>
        <v>1</v>
      </c>
      <c r="AZ292" s="16">
        <f t="shared" si="121"/>
        <v>1</v>
      </c>
      <c r="BA292" s="16">
        <f t="shared" si="122"/>
        <v>1</v>
      </c>
      <c r="BB292" s="70">
        <f t="shared" si="123"/>
        <v>12127.29</v>
      </c>
      <c r="BC292" s="67">
        <f t="shared" si="124"/>
        <v>29418.93</v>
      </c>
      <c r="BD292" s="71">
        <f t="shared" si="125"/>
        <v>4.2</v>
      </c>
      <c r="BE292" s="19">
        <f t="shared" si="126"/>
        <v>6.6833908817617201E-3</v>
      </c>
      <c r="BF292" s="69">
        <f t="shared" si="127"/>
        <v>0</v>
      </c>
      <c r="BH292" s="72">
        <f t="shared" si="128"/>
        <v>29418.93</v>
      </c>
      <c r="BI292" s="73">
        <f t="shared" si="129"/>
        <v>1</v>
      </c>
      <c r="BJ292" s="74">
        <f t="shared" si="130"/>
        <v>2.615399136212661E-3</v>
      </c>
      <c r="BK292" s="75">
        <f t="shared" si="131"/>
        <v>0</v>
      </c>
      <c r="BM292" s="76">
        <f t="shared" si="132"/>
        <v>1</v>
      </c>
    </row>
    <row r="293" spans="1:65" ht="12.75" customHeight="1" x14ac:dyDescent="0.2">
      <c r="A293" s="47"/>
      <c r="B293" s="48" t="s">
        <v>595</v>
      </c>
      <c r="C293" s="49">
        <v>50000</v>
      </c>
      <c r="D293" s="50">
        <v>13</v>
      </c>
      <c r="E293" s="49">
        <v>35790.370000000003</v>
      </c>
      <c r="F293" s="50" t="s">
        <v>63</v>
      </c>
      <c r="G293" s="51">
        <v>45162</v>
      </c>
      <c r="H293" s="52" t="s">
        <v>56</v>
      </c>
      <c r="I293" s="51">
        <v>45288</v>
      </c>
      <c r="J293" s="52">
        <f t="shared" si="98"/>
        <v>4.2</v>
      </c>
      <c r="K293" s="53" t="s">
        <v>596</v>
      </c>
      <c r="L293" s="53">
        <v>57600</v>
      </c>
      <c r="M293" s="54">
        <v>13.73</v>
      </c>
      <c r="N293" s="54">
        <v>5180.28</v>
      </c>
      <c r="O293" s="54">
        <v>2415.87</v>
      </c>
      <c r="P293" s="54">
        <f t="shared" si="69"/>
        <v>0</v>
      </c>
      <c r="Q293" s="54">
        <f t="shared" si="70"/>
        <v>0</v>
      </c>
      <c r="R293" s="55">
        <f t="shared" si="71"/>
        <v>0</v>
      </c>
      <c r="S293" s="55">
        <f t="shared" si="72"/>
        <v>1</v>
      </c>
      <c r="T293" s="56"/>
      <c r="V293" s="57"/>
      <c r="W293" s="58"/>
      <c r="X293" s="58"/>
      <c r="Y293" s="58"/>
      <c r="Z293" s="58"/>
      <c r="AA293" s="58">
        <v>13.73</v>
      </c>
      <c r="AB293" s="58">
        <f t="shared" si="154"/>
        <v>13.73</v>
      </c>
      <c r="AC293" s="58">
        <v>35790.370000000003</v>
      </c>
      <c r="AD293" s="59">
        <v>1.7500000000000002E-2</v>
      </c>
      <c r="AE293" s="60">
        <f t="shared" si="155"/>
        <v>308.87579589041098</v>
      </c>
      <c r="AF293" s="61"/>
      <c r="AG293" s="59"/>
      <c r="AH293" s="60">
        <f t="shared" si="159"/>
        <v>0</v>
      </c>
      <c r="AI293" s="62">
        <f t="shared" si="160"/>
        <v>35790.370000000003</v>
      </c>
      <c r="AJ293" s="62">
        <f t="shared" si="156"/>
        <v>308.87579589041098</v>
      </c>
      <c r="AK293" s="63">
        <f t="shared" si="157"/>
        <v>13.73</v>
      </c>
      <c r="AL293" s="64">
        <f t="shared" si="158"/>
        <v>13.73</v>
      </c>
      <c r="AP293" s="65">
        <f t="shared" si="113"/>
        <v>0</v>
      </c>
      <c r="AQ293" s="16">
        <f t="shared" si="114"/>
        <v>1</v>
      </c>
      <c r="AR293" s="16">
        <f t="shared" si="115"/>
        <v>0</v>
      </c>
      <c r="AS293" s="66">
        <f t="shared" si="116"/>
        <v>0</v>
      </c>
      <c r="AT293" s="67">
        <f t="shared" si="117"/>
        <v>0</v>
      </c>
      <c r="AU293" s="68">
        <f t="shared" si="80"/>
        <v>0</v>
      </c>
      <c r="AV293" s="19">
        <f t="shared" si="118"/>
        <v>0</v>
      </c>
      <c r="AW293" s="69">
        <f t="shared" si="119"/>
        <v>0</v>
      </c>
      <c r="AY293" s="65">
        <f t="shared" si="120"/>
        <v>1</v>
      </c>
      <c r="AZ293" s="16">
        <f t="shared" si="121"/>
        <v>1</v>
      </c>
      <c r="BA293" s="16">
        <f t="shared" si="122"/>
        <v>1</v>
      </c>
      <c r="BB293" s="70">
        <f t="shared" si="123"/>
        <v>7596.15</v>
      </c>
      <c r="BC293" s="67">
        <f t="shared" si="124"/>
        <v>35790.370000000003</v>
      </c>
      <c r="BD293" s="71">
        <f t="shared" si="125"/>
        <v>4.2</v>
      </c>
      <c r="BE293" s="19">
        <f t="shared" si="126"/>
        <v>8.1308542667214E-3</v>
      </c>
      <c r="BF293" s="69">
        <f t="shared" si="127"/>
        <v>0</v>
      </c>
      <c r="BH293" s="72">
        <f t="shared" si="128"/>
        <v>35790.370000000003</v>
      </c>
      <c r="BI293" s="73">
        <f t="shared" si="129"/>
        <v>1</v>
      </c>
      <c r="BJ293" s="74">
        <f t="shared" si="130"/>
        <v>3.1818323366190255E-3</v>
      </c>
      <c r="BK293" s="75">
        <f t="shared" si="131"/>
        <v>0</v>
      </c>
      <c r="BM293" s="76">
        <f t="shared" si="132"/>
        <v>1</v>
      </c>
    </row>
    <row r="294" spans="1:65" ht="12.75" customHeight="1" x14ac:dyDescent="0.2">
      <c r="A294" s="47"/>
      <c r="B294" s="48" t="s">
        <v>597</v>
      </c>
      <c r="C294" s="49">
        <v>43600</v>
      </c>
      <c r="D294" s="50">
        <v>13</v>
      </c>
      <c r="E294" s="49">
        <v>33099.99</v>
      </c>
      <c r="F294" s="50" t="s">
        <v>55</v>
      </c>
      <c r="G294" s="51">
        <v>45175</v>
      </c>
      <c r="H294" s="52" t="s">
        <v>56</v>
      </c>
      <c r="I294" s="51">
        <v>45198</v>
      </c>
      <c r="J294" s="52">
        <f t="shared" si="98"/>
        <v>0.76666666666666672</v>
      </c>
      <c r="K294" s="53" t="s">
        <v>540</v>
      </c>
      <c r="L294" s="53">
        <v>60300</v>
      </c>
      <c r="M294" s="54">
        <v>2368.7399999999998</v>
      </c>
      <c r="N294" s="54">
        <v>3289.4</v>
      </c>
      <c r="O294" s="54">
        <v>1094.1199999999999</v>
      </c>
      <c r="P294" s="54">
        <f t="shared" si="69"/>
        <v>0</v>
      </c>
      <c r="Q294" s="54">
        <f t="shared" si="70"/>
        <v>0</v>
      </c>
      <c r="R294" s="55">
        <f t="shared" si="71"/>
        <v>0</v>
      </c>
      <c r="S294" s="55">
        <f t="shared" si="72"/>
        <v>1</v>
      </c>
      <c r="T294" s="56"/>
      <c r="V294" s="57"/>
      <c r="W294" s="58"/>
      <c r="X294" s="58"/>
      <c r="Y294" s="58">
        <v>163.6</v>
      </c>
      <c r="Z294" s="58"/>
      <c r="AA294" s="58">
        <v>2205.14</v>
      </c>
      <c r="AB294" s="58">
        <f t="shared" si="154"/>
        <v>2368.7399999999998</v>
      </c>
      <c r="AC294" s="58">
        <v>21002.04</v>
      </c>
      <c r="AD294" s="59">
        <v>6.5000000000000002E-2</v>
      </c>
      <c r="AE294" s="60">
        <f t="shared" si="155"/>
        <v>673.21607671232891</v>
      </c>
      <c r="AF294" s="61">
        <v>12087.95</v>
      </c>
      <c r="AG294" s="59">
        <v>7.0000000000000007E-2</v>
      </c>
      <c r="AH294" s="60">
        <f t="shared" si="159"/>
        <v>417.2826575342466</v>
      </c>
      <c r="AI294" s="62">
        <f t="shared" si="160"/>
        <v>33089.990000000005</v>
      </c>
      <c r="AJ294" s="62">
        <f t="shared" si="156"/>
        <v>1090.4987342465756</v>
      </c>
      <c r="AK294" s="63">
        <f t="shared" si="157"/>
        <v>1090.4987342465756</v>
      </c>
      <c r="AL294" s="64">
        <f t="shared" si="158"/>
        <v>1254.0987342465755</v>
      </c>
      <c r="AN294" s="5">
        <f t="shared" ref="AN294:AN295" si="161">AB294</f>
        <v>2368.7399999999998</v>
      </c>
      <c r="AP294" s="65">
        <f t="shared" si="113"/>
        <v>1</v>
      </c>
      <c r="AQ294" s="16">
        <f t="shared" si="114"/>
        <v>1</v>
      </c>
      <c r="AR294" s="16">
        <f t="shared" si="115"/>
        <v>1</v>
      </c>
      <c r="AS294" s="66">
        <f t="shared" si="116"/>
        <v>4383.5200000000004</v>
      </c>
      <c r="AT294" s="67">
        <f t="shared" si="117"/>
        <v>33099.99</v>
      </c>
      <c r="AU294" s="68">
        <f t="shared" si="80"/>
        <v>0.76666666666666672</v>
      </c>
      <c r="AV294" s="19">
        <f t="shared" si="118"/>
        <v>4.8345467525970831E-3</v>
      </c>
      <c r="AW294" s="69">
        <f t="shared" si="119"/>
        <v>0</v>
      </c>
      <c r="AY294" s="65">
        <f t="shared" si="120"/>
        <v>0</v>
      </c>
      <c r="AZ294" s="16">
        <f t="shared" si="121"/>
        <v>1</v>
      </c>
      <c r="BA294" s="16">
        <f t="shared" si="122"/>
        <v>0</v>
      </c>
      <c r="BB294" s="70">
        <f t="shared" si="123"/>
        <v>0</v>
      </c>
      <c r="BC294" s="67">
        <f t="shared" si="124"/>
        <v>0</v>
      </c>
      <c r="BD294" s="71">
        <f t="shared" si="125"/>
        <v>0</v>
      </c>
      <c r="BE294" s="19">
        <f t="shared" si="126"/>
        <v>0</v>
      </c>
      <c r="BF294" s="69">
        <f t="shared" si="127"/>
        <v>0</v>
      </c>
      <c r="BH294" s="72">
        <f t="shared" si="128"/>
        <v>33099.99</v>
      </c>
      <c r="BI294" s="73">
        <f t="shared" si="129"/>
        <v>1</v>
      </c>
      <c r="BJ294" s="74">
        <f t="shared" si="130"/>
        <v>2.9426524096779765E-3</v>
      </c>
      <c r="BK294" s="75">
        <f t="shared" si="131"/>
        <v>0</v>
      </c>
      <c r="BM294" s="76">
        <f t="shared" si="132"/>
        <v>1</v>
      </c>
    </row>
    <row r="295" spans="1:65" ht="12.75" customHeight="1" x14ac:dyDescent="0.2">
      <c r="A295" s="47"/>
      <c r="B295" s="48" t="s">
        <v>598</v>
      </c>
      <c r="C295" s="49">
        <v>40000</v>
      </c>
      <c r="D295" s="50">
        <v>13</v>
      </c>
      <c r="E295" s="49">
        <v>28499.74</v>
      </c>
      <c r="F295" s="50" t="s">
        <v>55</v>
      </c>
      <c r="G295" s="51">
        <v>45177</v>
      </c>
      <c r="H295" s="52" t="s">
        <v>56</v>
      </c>
      <c r="I295" s="51">
        <v>45198</v>
      </c>
      <c r="J295" s="52">
        <f t="shared" si="98"/>
        <v>0.7</v>
      </c>
      <c r="K295" s="53" t="s">
        <v>566</v>
      </c>
      <c r="L295" s="53">
        <v>40116.06</v>
      </c>
      <c r="M295" s="54">
        <v>731.56</v>
      </c>
      <c r="N295" s="54">
        <v>7495.2699999999995</v>
      </c>
      <c r="O295" s="54">
        <v>2643.43</v>
      </c>
      <c r="P295" s="54">
        <f t="shared" si="69"/>
        <v>0</v>
      </c>
      <c r="Q295" s="54">
        <f t="shared" si="70"/>
        <v>0</v>
      </c>
      <c r="R295" s="55">
        <f t="shared" si="71"/>
        <v>0</v>
      </c>
      <c r="S295" s="55">
        <f t="shared" si="72"/>
        <v>1</v>
      </c>
      <c r="T295" s="56"/>
      <c r="V295" s="57">
        <v>216</v>
      </c>
      <c r="W295" s="58"/>
      <c r="X295" s="58">
        <v>15.12</v>
      </c>
      <c r="Y295" s="58"/>
      <c r="Z295" s="58">
        <f>143.64+147.15</f>
        <v>290.78999999999996</v>
      </c>
      <c r="AA295" s="58">
        <v>209.65</v>
      </c>
      <c r="AB295" s="58">
        <f t="shared" si="154"/>
        <v>731.56</v>
      </c>
      <c r="AC295" s="58">
        <v>28499.74</v>
      </c>
      <c r="AD295" s="59">
        <v>2.5000000000000001E-3</v>
      </c>
      <c r="AE295" s="60">
        <f t="shared" si="155"/>
        <v>35.136665753424658</v>
      </c>
      <c r="AF295" s="61"/>
      <c r="AG295" s="59"/>
      <c r="AH295" s="60">
        <f t="shared" si="159"/>
        <v>0</v>
      </c>
      <c r="AI295" s="62">
        <f t="shared" si="160"/>
        <v>28499.74</v>
      </c>
      <c r="AJ295" s="62">
        <f t="shared" si="156"/>
        <v>35.136665753424658</v>
      </c>
      <c r="AK295" s="63">
        <f t="shared" si="157"/>
        <v>35.136665753424658</v>
      </c>
      <c r="AL295" s="64">
        <f t="shared" si="158"/>
        <v>341.04666575342463</v>
      </c>
      <c r="AN295" s="5">
        <f t="shared" si="161"/>
        <v>731.56</v>
      </c>
      <c r="AP295" s="65">
        <f t="shared" si="113"/>
        <v>1</v>
      </c>
      <c r="AQ295" s="16">
        <f t="shared" si="114"/>
        <v>1</v>
      </c>
      <c r="AR295" s="16">
        <f t="shared" si="115"/>
        <v>1</v>
      </c>
      <c r="AS295" s="66">
        <f t="shared" si="116"/>
        <v>10138.699999999999</v>
      </c>
      <c r="AT295" s="67">
        <f t="shared" si="117"/>
        <v>28499.74</v>
      </c>
      <c r="AU295" s="68">
        <f t="shared" si="80"/>
        <v>0.7</v>
      </c>
      <c r="AV295" s="19">
        <f t="shared" si="118"/>
        <v>4.1626394892222383E-3</v>
      </c>
      <c r="AW295" s="69">
        <f t="shared" si="119"/>
        <v>0</v>
      </c>
      <c r="AY295" s="65">
        <f t="shared" si="120"/>
        <v>0</v>
      </c>
      <c r="AZ295" s="16">
        <f t="shared" si="121"/>
        <v>1</v>
      </c>
      <c r="BA295" s="16">
        <f t="shared" si="122"/>
        <v>0</v>
      </c>
      <c r="BB295" s="70">
        <f t="shared" si="123"/>
        <v>0</v>
      </c>
      <c r="BC295" s="67">
        <f t="shared" si="124"/>
        <v>0</v>
      </c>
      <c r="BD295" s="71">
        <f t="shared" si="125"/>
        <v>0</v>
      </c>
      <c r="BE295" s="19">
        <f t="shared" si="126"/>
        <v>0</v>
      </c>
      <c r="BF295" s="69">
        <f t="shared" si="127"/>
        <v>0</v>
      </c>
      <c r="BH295" s="72">
        <f t="shared" si="128"/>
        <v>28499.74</v>
      </c>
      <c r="BI295" s="73">
        <f t="shared" si="129"/>
        <v>1</v>
      </c>
      <c r="BJ295" s="74">
        <f t="shared" si="130"/>
        <v>2.5336813874021055E-3</v>
      </c>
      <c r="BK295" s="75">
        <f t="shared" si="131"/>
        <v>0</v>
      </c>
      <c r="BM295" s="76">
        <f t="shared" si="132"/>
        <v>1</v>
      </c>
    </row>
    <row r="296" spans="1:65" ht="12.75" customHeight="1" x14ac:dyDescent="0.2">
      <c r="A296" s="47"/>
      <c r="B296" s="48" t="s">
        <v>599</v>
      </c>
      <c r="C296" s="49">
        <v>70190.77</v>
      </c>
      <c r="D296" s="50">
        <v>13</v>
      </c>
      <c r="E296" s="49">
        <v>61436.27</v>
      </c>
      <c r="F296" s="50" t="s">
        <v>63</v>
      </c>
      <c r="G296" s="51">
        <v>45355</v>
      </c>
      <c r="H296" s="52" t="s">
        <v>56</v>
      </c>
      <c r="I296" s="51">
        <v>45595</v>
      </c>
      <c r="J296" s="52">
        <f t="shared" si="98"/>
        <v>8</v>
      </c>
      <c r="K296" s="53" t="s">
        <v>600</v>
      </c>
      <c r="L296" s="53">
        <v>70000</v>
      </c>
      <c r="M296" s="54">
        <v>472.59</v>
      </c>
      <c r="N296" s="54">
        <v>14328.779999999999</v>
      </c>
      <c r="O296" s="54">
        <v>1614.64</v>
      </c>
      <c r="P296" s="54">
        <f t="shared" si="69"/>
        <v>0</v>
      </c>
      <c r="Q296" s="54">
        <f t="shared" si="70"/>
        <v>7852.2799999999961</v>
      </c>
      <c r="R296" s="55">
        <f t="shared" si="71"/>
        <v>0.12781179586586225</v>
      </c>
      <c r="S296" s="55">
        <f t="shared" si="72"/>
        <v>0.87218820413413778</v>
      </c>
      <c r="T296" s="56"/>
      <c r="V296" s="57"/>
      <c r="W296" s="58"/>
      <c r="X296" s="58"/>
      <c r="Y296" s="58"/>
      <c r="Z296" s="58"/>
      <c r="AA296" s="58"/>
      <c r="AB296" s="58"/>
      <c r="AC296" s="58"/>
      <c r="AD296" s="59"/>
      <c r="AE296" s="60"/>
      <c r="AF296" s="61"/>
      <c r="AG296" s="59"/>
      <c r="AH296" s="60"/>
      <c r="AI296" s="62"/>
      <c r="AJ296" s="62"/>
      <c r="AK296" s="63"/>
      <c r="AL296" s="64"/>
      <c r="AP296" s="65">
        <f t="shared" si="113"/>
        <v>0</v>
      </c>
      <c r="AQ296" s="16">
        <f t="shared" si="114"/>
        <v>1</v>
      </c>
      <c r="AR296" s="16">
        <f t="shared" si="115"/>
        <v>0</v>
      </c>
      <c r="AS296" s="66">
        <f t="shared" si="116"/>
        <v>0</v>
      </c>
      <c r="AT296" s="67">
        <f t="shared" si="117"/>
        <v>0</v>
      </c>
      <c r="AU296" s="68">
        <f t="shared" si="80"/>
        <v>0</v>
      </c>
      <c r="AV296" s="19">
        <f t="shared" si="118"/>
        <v>0</v>
      </c>
      <c r="AW296" s="69">
        <f t="shared" si="119"/>
        <v>0</v>
      </c>
      <c r="AY296" s="65">
        <f t="shared" si="120"/>
        <v>1</v>
      </c>
      <c r="AZ296" s="16">
        <f t="shared" si="121"/>
        <v>1</v>
      </c>
      <c r="BA296" s="16">
        <f t="shared" si="122"/>
        <v>1</v>
      </c>
      <c r="BB296" s="70">
        <f t="shared" si="123"/>
        <v>15943.419999999998</v>
      </c>
      <c r="BC296" s="67">
        <f t="shared" si="124"/>
        <v>61436.27</v>
      </c>
      <c r="BD296" s="71">
        <f t="shared" si="125"/>
        <v>8</v>
      </c>
      <c r="BE296" s="19">
        <f t="shared" si="126"/>
        <v>1.3957088402856633E-2</v>
      </c>
      <c r="BF296" s="69">
        <f t="shared" si="127"/>
        <v>1.7838805338277054E-3</v>
      </c>
      <c r="BH296" s="72">
        <f t="shared" si="128"/>
        <v>61436.27</v>
      </c>
      <c r="BI296" s="73">
        <f t="shared" si="129"/>
        <v>1</v>
      </c>
      <c r="BJ296" s="74">
        <f t="shared" si="130"/>
        <v>5.4618018904877847E-3</v>
      </c>
      <c r="BK296" s="75">
        <f t="shared" si="131"/>
        <v>6.9808270828680523E-4</v>
      </c>
      <c r="BM296" s="76">
        <f t="shared" si="132"/>
        <v>1</v>
      </c>
    </row>
    <row r="297" spans="1:65" ht="12.75" customHeight="1" x14ac:dyDescent="0.2">
      <c r="A297" s="47"/>
      <c r="B297" s="48" t="s">
        <v>601</v>
      </c>
      <c r="C297" s="49">
        <v>35000</v>
      </c>
      <c r="D297" s="50">
        <v>13</v>
      </c>
      <c r="E297" s="49">
        <v>25498.63</v>
      </c>
      <c r="F297" s="50" t="s">
        <v>55</v>
      </c>
      <c r="G297" s="51">
        <v>45177</v>
      </c>
      <c r="H297" s="52" t="s">
        <v>56</v>
      </c>
      <c r="I297" s="51">
        <v>45355</v>
      </c>
      <c r="J297" s="52">
        <f t="shared" si="98"/>
        <v>5.9333333333333336</v>
      </c>
      <c r="K297" s="53" t="s">
        <v>602</v>
      </c>
      <c r="L297" s="53">
        <v>43000</v>
      </c>
      <c r="M297" s="54">
        <v>1233.46</v>
      </c>
      <c r="N297" s="77">
        <v>7716.4299999999994</v>
      </c>
      <c r="O297" s="54">
        <v>1800.4</v>
      </c>
      <c r="P297" s="54">
        <f t="shared" si="69"/>
        <v>0</v>
      </c>
      <c r="Q297" s="54">
        <f t="shared" si="70"/>
        <v>0</v>
      </c>
      <c r="R297" s="55">
        <f t="shared" si="71"/>
        <v>0</v>
      </c>
      <c r="S297" s="55">
        <f t="shared" si="72"/>
        <v>1</v>
      </c>
      <c r="T297" s="56"/>
      <c r="V297" s="57">
        <v>258.77999999999997</v>
      </c>
      <c r="W297" s="58"/>
      <c r="X297" s="58">
        <v>18.11</v>
      </c>
      <c r="Y297" s="58"/>
      <c r="Z297" s="58">
        <f>106.72+637.13</f>
        <v>743.85</v>
      </c>
      <c r="AA297" s="58">
        <v>212.72</v>
      </c>
      <c r="AB297" s="58">
        <f>AA297+Z297+Y297+X297+V297+W297</f>
        <v>1233.46</v>
      </c>
      <c r="AC297" s="58">
        <v>25498.63</v>
      </c>
      <c r="AD297" s="59">
        <v>2.5000000000000001E-3</v>
      </c>
      <c r="AE297" s="60">
        <f>((AC297*AD297)/365)*180</f>
        <v>31.436667123287677</v>
      </c>
      <c r="AF297" s="61"/>
      <c r="AG297" s="59"/>
      <c r="AH297" s="60">
        <f>((AF297*AG297)/365)*180</f>
        <v>0</v>
      </c>
      <c r="AI297" s="62">
        <f>AC297+AF297</f>
        <v>25498.63</v>
      </c>
      <c r="AJ297" s="62">
        <f>AE297+AH297</f>
        <v>31.436667123287677</v>
      </c>
      <c r="AK297" s="63">
        <f>IF(AJ297&lt;AA297,AJ297,AA297)</f>
        <v>31.436667123287677</v>
      </c>
      <c r="AL297" s="64">
        <f>W297+X297+Y297+Z297+AK297</f>
        <v>793.39666712328767</v>
      </c>
      <c r="AN297" s="5">
        <f>AB297</f>
        <v>1233.46</v>
      </c>
      <c r="AP297" s="65">
        <f t="shared" si="113"/>
        <v>1</v>
      </c>
      <c r="AQ297" s="16">
        <f t="shared" si="114"/>
        <v>1</v>
      </c>
      <c r="AR297" s="16">
        <f t="shared" si="115"/>
        <v>1</v>
      </c>
      <c r="AS297" s="66">
        <f t="shared" si="116"/>
        <v>9516.83</v>
      </c>
      <c r="AT297" s="67">
        <f t="shared" si="117"/>
        <v>25498.63</v>
      </c>
      <c r="AU297" s="68">
        <f t="shared" si="80"/>
        <v>5.9333333333333336</v>
      </c>
      <c r="AV297" s="19">
        <f t="shared" si="118"/>
        <v>3.7243007886762071E-3</v>
      </c>
      <c r="AW297" s="69">
        <f t="shared" si="119"/>
        <v>0</v>
      </c>
      <c r="AY297" s="65">
        <f t="shared" si="120"/>
        <v>0</v>
      </c>
      <c r="AZ297" s="16">
        <f t="shared" si="121"/>
        <v>1</v>
      </c>
      <c r="BA297" s="16">
        <f t="shared" si="122"/>
        <v>0</v>
      </c>
      <c r="BB297" s="70">
        <f t="shared" si="123"/>
        <v>0</v>
      </c>
      <c r="BC297" s="67">
        <f t="shared" si="124"/>
        <v>0</v>
      </c>
      <c r="BD297" s="71">
        <f t="shared" si="125"/>
        <v>0</v>
      </c>
      <c r="BE297" s="19">
        <f t="shared" si="126"/>
        <v>0</v>
      </c>
      <c r="BF297" s="69">
        <f t="shared" si="127"/>
        <v>0</v>
      </c>
      <c r="BH297" s="72">
        <f t="shared" si="128"/>
        <v>25498.63</v>
      </c>
      <c r="BI297" s="73">
        <f t="shared" si="129"/>
        <v>1</v>
      </c>
      <c r="BJ297" s="74">
        <f t="shared" si="130"/>
        <v>2.2668769692373667E-3</v>
      </c>
      <c r="BK297" s="75">
        <f t="shared" si="131"/>
        <v>0</v>
      </c>
      <c r="BM297" s="76">
        <f t="shared" si="132"/>
        <v>1</v>
      </c>
    </row>
    <row r="298" spans="1:65" ht="12.75" customHeight="1" x14ac:dyDescent="0.2">
      <c r="A298" s="47"/>
      <c r="B298" s="48" t="s">
        <v>603</v>
      </c>
      <c r="C298" s="49">
        <v>52500</v>
      </c>
      <c r="D298" s="50">
        <v>13</v>
      </c>
      <c r="E298" s="49">
        <v>46037.34</v>
      </c>
      <c r="F298" s="50" t="s">
        <v>63</v>
      </c>
      <c r="G298" s="51">
        <v>45489</v>
      </c>
      <c r="H298" s="52" t="s">
        <v>56</v>
      </c>
      <c r="I298" s="51">
        <v>45595</v>
      </c>
      <c r="J298" s="52">
        <f t="shared" si="98"/>
        <v>3.5333333333333332</v>
      </c>
      <c r="K298" s="53" t="s">
        <v>604</v>
      </c>
      <c r="L298" s="53">
        <v>50000</v>
      </c>
      <c r="M298" s="54">
        <v>681.21</v>
      </c>
      <c r="N298" s="54">
        <v>7588.69</v>
      </c>
      <c r="O298" s="54">
        <v>410</v>
      </c>
      <c r="P298" s="54">
        <f t="shared" si="69"/>
        <v>0</v>
      </c>
      <c r="Q298" s="54">
        <f t="shared" si="70"/>
        <v>4717.2399999999961</v>
      </c>
      <c r="R298" s="55">
        <f t="shared" si="71"/>
        <v>0.10246552037976123</v>
      </c>
      <c r="S298" s="55">
        <f t="shared" si="72"/>
        <v>0.8975344796202388</v>
      </c>
      <c r="T298" s="56"/>
      <c r="V298" s="57"/>
      <c r="W298" s="58"/>
      <c r="X298" s="58"/>
      <c r="Y298" s="58"/>
      <c r="Z298" s="58"/>
      <c r="AA298" s="58"/>
      <c r="AB298" s="58"/>
      <c r="AC298" s="58"/>
      <c r="AD298" s="59"/>
      <c r="AE298" s="60"/>
      <c r="AF298" s="61"/>
      <c r="AG298" s="59"/>
      <c r="AH298" s="60"/>
      <c r="AI298" s="62"/>
      <c r="AJ298" s="62"/>
      <c r="AK298" s="63"/>
      <c r="AL298" s="64"/>
      <c r="AP298" s="65">
        <f t="shared" si="113"/>
        <v>0</v>
      </c>
      <c r="AQ298" s="16">
        <f t="shared" si="114"/>
        <v>1</v>
      </c>
      <c r="AR298" s="16">
        <f t="shared" si="115"/>
        <v>0</v>
      </c>
      <c r="AS298" s="66">
        <f t="shared" si="116"/>
        <v>0</v>
      </c>
      <c r="AT298" s="67">
        <f t="shared" si="117"/>
        <v>0</v>
      </c>
      <c r="AU298" s="68">
        <f t="shared" si="80"/>
        <v>0</v>
      </c>
      <c r="AV298" s="19">
        <f t="shared" si="118"/>
        <v>0</v>
      </c>
      <c r="AW298" s="69">
        <f t="shared" si="119"/>
        <v>0</v>
      </c>
      <c r="AY298" s="65">
        <f t="shared" si="120"/>
        <v>1</v>
      </c>
      <c r="AZ298" s="16">
        <f t="shared" si="121"/>
        <v>1</v>
      </c>
      <c r="BA298" s="16">
        <f t="shared" si="122"/>
        <v>1</v>
      </c>
      <c r="BB298" s="70">
        <f t="shared" si="123"/>
        <v>7998.69</v>
      </c>
      <c r="BC298" s="67">
        <f t="shared" si="124"/>
        <v>46037.34</v>
      </c>
      <c r="BD298" s="71">
        <f t="shared" si="125"/>
        <v>3.5333333333333332</v>
      </c>
      <c r="BE298" s="19">
        <f t="shared" si="126"/>
        <v>1.0458760341608756E-2</v>
      </c>
      <c r="BF298" s="69">
        <f t="shared" si="127"/>
        <v>1.0716623209301504E-3</v>
      </c>
      <c r="BH298" s="72">
        <f t="shared" si="128"/>
        <v>46037.34</v>
      </c>
      <c r="BI298" s="73">
        <f t="shared" si="129"/>
        <v>1</v>
      </c>
      <c r="BJ298" s="74">
        <f t="shared" si="130"/>
        <v>4.0928075653848929E-3</v>
      </c>
      <c r="BK298" s="75">
        <f t="shared" si="131"/>
        <v>4.1937165700138665E-4</v>
      </c>
      <c r="BM298" s="76">
        <f t="shared" si="132"/>
        <v>1</v>
      </c>
    </row>
    <row r="299" spans="1:65" ht="12.75" customHeight="1" x14ac:dyDescent="0.2">
      <c r="A299" s="47"/>
      <c r="B299" s="48" t="s">
        <v>605</v>
      </c>
      <c r="C299" s="49">
        <v>49995</v>
      </c>
      <c r="D299" s="50">
        <v>13</v>
      </c>
      <c r="E299" s="49">
        <v>46797.47</v>
      </c>
      <c r="F299" s="50" t="s">
        <v>63</v>
      </c>
      <c r="G299" s="51">
        <v>45210</v>
      </c>
      <c r="H299" s="52" t="s">
        <v>56</v>
      </c>
      <c r="I299" s="51">
        <v>45351</v>
      </c>
      <c r="J299" s="52">
        <f t="shared" si="98"/>
        <v>4.7</v>
      </c>
      <c r="K299" s="53" t="s">
        <v>606</v>
      </c>
      <c r="L299" s="53">
        <v>47000</v>
      </c>
      <c r="M299" s="54">
        <v>556.39</v>
      </c>
      <c r="N299" s="77">
        <v>5420.5199999999995</v>
      </c>
      <c r="O299" s="54">
        <v>2343.8000000000002</v>
      </c>
      <c r="P299" s="54">
        <f t="shared" si="69"/>
        <v>0</v>
      </c>
      <c r="Q299" s="54">
        <f t="shared" si="70"/>
        <v>8118.1800000000012</v>
      </c>
      <c r="R299" s="55">
        <f t="shared" si="71"/>
        <v>0.17347476263139869</v>
      </c>
      <c r="S299" s="55">
        <f t="shared" si="72"/>
        <v>0.82652523736860128</v>
      </c>
      <c r="T299" s="56"/>
      <c r="V299" s="57">
        <v>44</v>
      </c>
      <c r="W299" s="58"/>
      <c r="X299" s="58">
        <v>3.08</v>
      </c>
      <c r="Y299" s="58"/>
      <c r="Z299" s="58">
        <f>21+128.44</f>
        <v>149.44</v>
      </c>
      <c r="AA299" s="58">
        <v>1663.1</v>
      </c>
      <c r="AB299" s="58">
        <f>AA299+Z299+Y299+X299+V299+W299</f>
        <v>1859.62</v>
      </c>
      <c r="AC299" s="58">
        <v>46797.47</v>
      </c>
      <c r="AD299" s="59">
        <v>1.7500000000000002E-2</v>
      </c>
      <c r="AE299" s="60">
        <f>((AC299*AD299)/365)*180</f>
        <v>403.86857671232889</v>
      </c>
      <c r="AF299" s="61"/>
      <c r="AG299" s="59"/>
      <c r="AH299" s="60">
        <f>((AF299*AG299)/365)*180</f>
        <v>0</v>
      </c>
      <c r="AI299" s="62">
        <f>AC299+AF299</f>
        <v>46797.47</v>
      </c>
      <c r="AJ299" s="62">
        <f>AE299+AH299</f>
        <v>403.86857671232889</v>
      </c>
      <c r="AK299" s="63">
        <f>IF(AJ299&lt;AA299,AJ299,AA299)</f>
        <v>403.86857671232889</v>
      </c>
      <c r="AL299" s="64">
        <f>W299+X299+Y299+Z299+AK299</f>
        <v>556.38857671232893</v>
      </c>
      <c r="AP299" s="65">
        <f t="shared" si="113"/>
        <v>0</v>
      </c>
      <c r="AQ299" s="16">
        <f t="shared" si="114"/>
        <v>1</v>
      </c>
      <c r="AR299" s="16">
        <f t="shared" si="115"/>
        <v>0</v>
      </c>
      <c r="AS299" s="66">
        <f t="shared" si="116"/>
        <v>0</v>
      </c>
      <c r="AT299" s="67">
        <f t="shared" si="117"/>
        <v>0</v>
      </c>
      <c r="AU299" s="68">
        <f t="shared" si="80"/>
        <v>0</v>
      </c>
      <c r="AV299" s="19">
        <f t="shared" si="118"/>
        <v>0</v>
      </c>
      <c r="AW299" s="69">
        <f t="shared" si="119"/>
        <v>0</v>
      </c>
      <c r="AY299" s="65">
        <f t="shared" si="120"/>
        <v>1</v>
      </c>
      <c r="AZ299" s="16">
        <f t="shared" si="121"/>
        <v>1</v>
      </c>
      <c r="BA299" s="16">
        <f t="shared" si="122"/>
        <v>1</v>
      </c>
      <c r="BB299" s="70">
        <f t="shared" si="123"/>
        <v>7764.32</v>
      </c>
      <c r="BC299" s="67">
        <f t="shared" si="124"/>
        <v>46797.47</v>
      </c>
      <c r="BD299" s="71">
        <f t="shared" si="125"/>
        <v>4.7</v>
      </c>
      <c r="BE299" s="19">
        <f t="shared" si="126"/>
        <v>1.063144663274693E-2</v>
      </c>
      <c r="BF299" s="69">
        <f t="shared" si="127"/>
        <v>1.8442876810441566E-3</v>
      </c>
      <c r="BH299" s="72">
        <f t="shared" si="128"/>
        <v>46797.47</v>
      </c>
      <c r="BI299" s="73">
        <f t="shared" si="129"/>
        <v>1</v>
      </c>
      <c r="BJ299" s="74">
        <f t="shared" si="130"/>
        <v>4.1603845760174799E-3</v>
      </c>
      <c r="BK299" s="75">
        <f t="shared" si="131"/>
        <v>7.2172172677996459E-4</v>
      </c>
      <c r="BM299" s="76">
        <f t="shared" si="132"/>
        <v>1</v>
      </c>
    </row>
    <row r="300" spans="1:65" ht="12.75" customHeight="1" x14ac:dyDescent="0.2">
      <c r="A300" s="47"/>
      <c r="B300" s="48" t="s">
        <v>607</v>
      </c>
      <c r="C300" s="49">
        <v>49995</v>
      </c>
      <c r="D300" s="50">
        <v>13</v>
      </c>
      <c r="E300" s="49">
        <v>45924.28</v>
      </c>
      <c r="F300" s="50" t="s">
        <v>63</v>
      </c>
      <c r="G300" s="51">
        <v>45373</v>
      </c>
      <c r="H300" s="52" t="s">
        <v>56</v>
      </c>
      <c r="I300" s="51">
        <v>45532</v>
      </c>
      <c r="J300" s="52">
        <f t="shared" si="98"/>
        <v>5.3</v>
      </c>
      <c r="K300" s="53" t="s">
        <v>608</v>
      </c>
      <c r="L300" s="53">
        <v>50000</v>
      </c>
      <c r="M300" s="54">
        <v>400.3</v>
      </c>
      <c r="N300" s="54">
        <v>6019.36</v>
      </c>
      <c r="O300" s="54">
        <v>1468.56</v>
      </c>
      <c r="P300" s="54">
        <f t="shared" si="69"/>
        <v>0</v>
      </c>
      <c r="Q300" s="54">
        <f t="shared" si="70"/>
        <v>3812.4999999999986</v>
      </c>
      <c r="R300" s="55">
        <f t="shared" si="71"/>
        <v>8.3017088128545483E-2</v>
      </c>
      <c r="S300" s="55">
        <f t="shared" si="72"/>
        <v>0.91698291187145453</v>
      </c>
      <c r="T300" s="56"/>
      <c r="V300" s="57"/>
      <c r="W300" s="58"/>
      <c r="X300" s="58"/>
      <c r="Y300" s="58"/>
      <c r="Z300" s="58"/>
      <c r="AA300" s="58"/>
      <c r="AB300" s="58"/>
      <c r="AC300" s="58"/>
      <c r="AD300" s="59"/>
      <c r="AE300" s="60"/>
      <c r="AF300" s="61"/>
      <c r="AG300" s="59"/>
      <c r="AH300" s="60"/>
      <c r="AI300" s="62"/>
      <c r="AJ300" s="62"/>
      <c r="AK300" s="63"/>
      <c r="AL300" s="64"/>
      <c r="AP300" s="65">
        <f t="shared" si="113"/>
        <v>0</v>
      </c>
      <c r="AQ300" s="16">
        <f t="shared" si="114"/>
        <v>1</v>
      </c>
      <c r="AR300" s="16">
        <f t="shared" si="115"/>
        <v>0</v>
      </c>
      <c r="AS300" s="66">
        <f t="shared" si="116"/>
        <v>0</v>
      </c>
      <c r="AT300" s="67">
        <f t="shared" si="117"/>
        <v>0</v>
      </c>
      <c r="AU300" s="68">
        <f t="shared" si="80"/>
        <v>0</v>
      </c>
      <c r="AV300" s="19">
        <f t="shared" si="118"/>
        <v>0</v>
      </c>
      <c r="AW300" s="69">
        <f t="shared" si="119"/>
        <v>0</v>
      </c>
      <c r="AY300" s="65">
        <f t="shared" si="120"/>
        <v>1</v>
      </c>
      <c r="AZ300" s="16">
        <f t="shared" si="121"/>
        <v>1</v>
      </c>
      <c r="BA300" s="16">
        <f t="shared" si="122"/>
        <v>1</v>
      </c>
      <c r="BB300" s="70">
        <f t="shared" si="123"/>
        <v>7487.92</v>
      </c>
      <c r="BC300" s="67">
        <f t="shared" si="124"/>
        <v>45924.28</v>
      </c>
      <c r="BD300" s="71">
        <f t="shared" si="125"/>
        <v>5.3</v>
      </c>
      <c r="BE300" s="19">
        <f t="shared" si="126"/>
        <v>1.0433075377094684E-2</v>
      </c>
      <c r="BF300" s="69">
        <f t="shared" si="127"/>
        <v>8.6612353803202724E-4</v>
      </c>
      <c r="BH300" s="72">
        <f t="shared" si="128"/>
        <v>45924.28</v>
      </c>
      <c r="BI300" s="73">
        <f t="shared" si="129"/>
        <v>1</v>
      </c>
      <c r="BJ300" s="74">
        <f t="shared" si="130"/>
        <v>4.0827563151749017E-3</v>
      </c>
      <c r="BK300" s="75">
        <f t="shared" si="131"/>
        <v>3.3893854082425045E-4</v>
      </c>
      <c r="BM300" s="76">
        <f t="shared" si="132"/>
        <v>1</v>
      </c>
    </row>
    <row r="301" spans="1:65" ht="12.75" customHeight="1" x14ac:dyDescent="0.2">
      <c r="A301" s="47"/>
      <c r="B301" s="48" t="s">
        <v>609</v>
      </c>
      <c r="C301" s="49">
        <v>39200</v>
      </c>
      <c r="D301" s="50">
        <v>13</v>
      </c>
      <c r="E301" s="49">
        <v>36074.550000000003</v>
      </c>
      <c r="F301" s="50" t="s">
        <v>63</v>
      </c>
      <c r="G301" s="51">
        <v>45223</v>
      </c>
      <c r="H301" s="52" t="s">
        <v>542</v>
      </c>
      <c r="I301" s="51" t="s">
        <v>180</v>
      </c>
      <c r="J301" s="52" t="str">
        <f t="shared" si="98"/>
        <v>N/A</v>
      </c>
      <c r="K301" s="53" t="s">
        <v>180</v>
      </c>
      <c r="L301" s="53" t="s">
        <v>180</v>
      </c>
      <c r="M301" s="54"/>
      <c r="N301" s="54"/>
      <c r="O301" s="54"/>
      <c r="P301" s="54">
        <f t="shared" si="69"/>
        <v>0</v>
      </c>
      <c r="Q301" s="54">
        <f t="shared" si="70"/>
        <v>0</v>
      </c>
      <c r="R301" s="55" t="str">
        <f t="shared" si="71"/>
        <v>N/A</v>
      </c>
      <c r="S301" s="55" t="str">
        <f t="shared" si="72"/>
        <v>N/A</v>
      </c>
      <c r="T301" s="56"/>
      <c r="V301" s="57"/>
      <c r="W301" s="58"/>
      <c r="X301" s="58"/>
      <c r="Y301" s="58"/>
      <c r="Z301" s="58"/>
      <c r="AA301" s="58"/>
      <c r="AB301" s="58"/>
      <c r="AC301" s="58"/>
      <c r="AD301" s="59"/>
      <c r="AE301" s="60"/>
      <c r="AF301" s="61"/>
      <c r="AG301" s="59"/>
      <c r="AH301" s="60"/>
      <c r="AI301" s="62"/>
      <c r="AJ301" s="62">
        <f t="shared" ref="AJ301:AJ303" si="162">AE301+AH301</f>
        <v>0</v>
      </c>
      <c r="AK301" s="63"/>
      <c r="AL301" s="64">
        <f t="shared" ref="AL301:AL303" si="163">W301+X301+Y301+Z301+AK301</f>
        <v>0</v>
      </c>
      <c r="AP301" s="65">
        <f t="shared" si="113"/>
        <v>0</v>
      </c>
      <c r="AQ301" s="16">
        <f t="shared" si="114"/>
        <v>0</v>
      </c>
      <c r="AR301" s="16">
        <f t="shared" si="115"/>
        <v>0</v>
      </c>
      <c r="AS301" s="66">
        <f t="shared" si="116"/>
        <v>0</v>
      </c>
      <c r="AT301" s="67">
        <f t="shared" si="117"/>
        <v>0</v>
      </c>
      <c r="AU301" s="68">
        <f t="shared" si="80"/>
        <v>0</v>
      </c>
      <c r="AV301" s="19">
        <f t="shared" si="118"/>
        <v>0</v>
      </c>
      <c r="AW301" s="69">
        <f t="shared" si="119"/>
        <v>0</v>
      </c>
      <c r="AY301" s="65">
        <f t="shared" si="120"/>
        <v>1</v>
      </c>
      <c r="AZ301" s="16">
        <f t="shared" si="121"/>
        <v>0</v>
      </c>
      <c r="BA301" s="16">
        <f t="shared" si="122"/>
        <v>0</v>
      </c>
      <c r="BB301" s="70">
        <f t="shared" si="123"/>
        <v>0</v>
      </c>
      <c r="BC301" s="67">
        <f t="shared" si="124"/>
        <v>0</v>
      </c>
      <c r="BD301" s="71">
        <f t="shared" si="125"/>
        <v>0</v>
      </c>
      <c r="BE301" s="19">
        <f t="shared" si="126"/>
        <v>0</v>
      </c>
      <c r="BF301" s="69">
        <f t="shared" si="127"/>
        <v>0</v>
      </c>
      <c r="BH301" s="72">
        <f t="shared" si="128"/>
        <v>0</v>
      </c>
      <c r="BI301" s="73">
        <f t="shared" si="129"/>
        <v>0</v>
      </c>
      <c r="BJ301" s="74">
        <f t="shared" si="130"/>
        <v>0</v>
      </c>
      <c r="BK301" s="75">
        <f t="shared" si="131"/>
        <v>0</v>
      </c>
      <c r="BM301" s="76">
        <f t="shared" si="132"/>
        <v>1</v>
      </c>
    </row>
    <row r="302" spans="1:65" ht="12.75" customHeight="1" x14ac:dyDescent="0.2">
      <c r="A302" s="47"/>
      <c r="B302" s="48" t="s">
        <v>610</v>
      </c>
      <c r="C302" s="49">
        <v>34109.879999999997</v>
      </c>
      <c r="D302" s="50">
        <v>13</v>
      </c>
      <c r="E302" s="49">
        <v>23646.959999999999</v>
      </c>
      <c r="F302" s="50" t="s">
        <v>55</v>
      </c>
      <c r="G302" s="51">
        <v>45223</v>
      </c>
      <c r="H302" s="52" t="s">
        <v>56</v>
      </c>
      <c r="I302" s="51">
        <v>45246</v>
      </c>
      <c r="J302" s="52">
        <f t="shared" si="98"/>
        <v>0.76666666666666672</v>
      </c>
      <c r="K302" s="53" t="s">
        <v>611</v>
      </c>
      <c r="L302" s="53">
        <v>45000</v>
      </c>
      <c r="M302" s="54">
        <v>980</v>
      </c>
      <c r="N302" s="54">
        <v>6719.3600000000006</v>
      </c>
      <c r="O302" s="54">
        <v>3596</v>
      </c>
      <c r="P302" s="54">
        <f t="shared" si="69"/>
        <v>0</v>
      </c>
      <c r="Q302" s="54">
        <f t="shared" si="70"/>
        <v>0</v>
      </c>
      <c r="R302" s="55">
        <f t="shared" si="71"/>
        <v>0</v>
      </c>
      <c r="S302" s="55">
        <f t="shared" si="72"/>
        <v>1</v>
      </c>
      <c r="T302" s="56"/>
      <c r="V302" s="57">
        <v>512</v>
      </c>
      <c r="W302" s="58"/>
      <c r="X302" s="58">
        <v>35.840000000000003</v>
      </c>
      <c r="Y302" s="58"/>
      <c r="Z302" s="58">
        <f>290.56+653.44</f>
        <v>944</v>
      </c>
      <c r="AA302" s="58"/>
      <c r="AB302" s="58">
        <f t="shared" ref="AB302:AB303" si="164">AA302+Z302+Y302+X302+V302+W302</f>
        <v>1491.8400000000001</v>
      </c>
      <c r="AC302" s="58">
        <v>23646.959999999999</v>
      </c>
      <c r="AD302" s="59">
        <v>0</v>
      </c>
      <c r="AE302" s="60">
        <v>0</v>
      </c>
      <c r="AF302" s="61"/>
      <c r="AG302" s="59">
        <v>0</v>
      </c>
      <c r="AH302" s="60">
        <f>((AF302*AG302)/365)*180</f>
        <v>0</v>
      </c>
      <c r="AI302" s="62">
        <f>AC302+AF302</f>
        <v>23646.959999999999</v>
      </c>
      <c r="AJ302" s="62">
        <f t="shared" si="162"/>
        <v>0</v>
      </c>
      <c r="AK302" s="63">
        <f>IF(AJ302&lt;AA302,AJ302,AA302)</f>
        <v>0</v>
      </c>
      <c r="AL302" s="64">
        <f t="shared" si="163"/>
        <v>979.84</v>
      </c>
      <c r="AP302" s="65">
        <f t="shared" si="113"/>
        <v>1</v>
      </c>
      <c r="AQ302" s="16">
        <f t="shared" si="114"/>
        <v>1</v>
      </c>
      <c r="AR302" s="16">
        <f t="shared" si="115"/>
        <v>1</v>
      </c>
      <c r="AS302" s="66">
        <f t="shared" si="116"/>
        <v>10315.36</v>
      </c>
      <c r="AT302" s="67">
        <f t="shared" si="117"/>
        <v>23646.959999999999</v>
      </c>
      <c r="AU302" s="68">
        <f t="shared" si="80"/>
        <v>0.76666666666666672</v>
      </c>
      <c r="AV302" s="19">
        <f t="shared" si="118"/>
        <v>3.45384798233453E-3</v>
      </c>
      <c r="AW302" s="69">
        <f t="shared" si="119"/>
        <v>0</v>
      </c>
      <c r="AY302" s="65">
        <f t="shared" si="120"/>
        <v>0</v>
      </c>
      <c r="AZ302" s="16">
        <f t="shared" si="121"/>
        <v>1</v>
      </c>
      <c r="BA302" s="16">
        <f t="shared" si="122"/>
        <v>0</v>
      </c>
      <c r="BB302" s="70">
        <f t="shared" si="123"/>
        <v>0</v>
      </c>
      <c r="BC302" s="67">
        <f t="shared" si="124"/>
        <v>0</v>
      </c>
      <c r="BD302" s="71">
        <f t="shared" si="125"/>
        <v>0</v>
      </c>
      <c r="BE302" s="19">
        <f t="shared" si="126"/>
        <v>0</v>
      </c>
      <c r="BF302" s="69">
        <f t="shared" si="127"/>
        <v>0</v>
      </c>
      <c r="BH302" s="72">
        <f t="shared" si="128"/>
        <v>23646.959999999999</v>
      </c>
      <c r="BI302" s="73">
        <f t="shared" si="129"/>
        <v>1</v>
      </c>
      <c r="BJ302" s="74">
        <f t="shared" si="130"/>
        <v>2.1022599652011594E-3</v>
      </c>
      <c r="BK302" s="75">
        <f t="shared" si="131"/>
        <v>0</v>
      </c>
      <c r="BM302" s="76">
        <f t="shared" si="132"/>
        <v>1</v>
      </c>
    </row>
    <row r="303" spans="1:65" ht="12.75" customHeight="1" x14ac:dyDescent="0.2">
      <c r="A303" s="47"/>
      <c r="B303" s="48" t="s">
        <v>612</v>
      </c>
      <c r="C303" s="49">
        <v>52000</v>
      </c>
      <c r="D303" s="50">
        <v>13</v>
      </c>
      <c r="E303" s="49">
        <v>41362.97</v>
      </c>
      <c r="F303" s="50" t="s">
        <v>63</v>
      </c>
      <c r="G303" s="51">
        <v>45254</v>
      </c>
      <c r="H303" s="52" t="s">
        <v>542</v>
      </c>
      <c r="I303" s="51" t="s">
        <v>180</v>
      </c>
      <c r="J303" s="52" t="str">
        <f t="shared" si="98"/>
        <v>N/A</v>
      </c>
      <c r="K303" s="53" t="s">
        <v>180</v>
      </c>
      <c r="L303" s="53" t="s">
        <v>180</v>
      </c>
      <c r="M303" s="54"/>
      <c r="N303" s="54"/>
      <c r="O303" s="54"/>
      <c r="P303" s="54">
        <f t="shared" si="69"/>
        <v>0</v>
      </c>
      <c r="Q303" s="54">
        <f t="shared" si="70"/>
        <v>0</v>
      </c>
      <c r="R303" s="55" t="str">
        <f t="shared" si="71"/>
        <v>N/A</v>
      </c>
      <c r="S303" s="55" t="str">
        <f t="shared" si="72"/>
        <v>N/A</v>
      </c>
      <c r="T303" s="56"/>
      <c r="V303" s="57"/>
      <c r="W303" s="58"/>
      <c r="X303" s="58"/>
      <c r="Y303" s="58"/>
      <c r="Z303" s="58"/>
      <c r="AA303" s="58"/>
      <c r="AB303" s="58">
        <f t="shared" si="164"/>
        <v>0</v>
      </c>
      <c r="AC303" s="58"/>
      <c r="AD303" s="59"/>
      <c r="AE303" s="60"/>
      <c r="AF303" s="61"/>
      <c r="AG303" s="59"/>
      <c r="AH303" s="60"/>
      <c r="AI303" s="62"/>
      <c r="AJ303" s="62">
        <f t="shared" si="162"/>
        <v>0</v>
      </c>
      <c r="AK303" s="63"/>
      <c r="AL303" s="64">
        <f t="shared" si="163"/>
        <v>0</v>
      </c>
      <c r="AP303" s="65">
        <f t="shared" si="113"/>
        <v>0</v>
      </c>
      <c r="AQ303" s="16">
        <f t="shared" si="114"/>
        <v>0</v>
      </c>
      <c r="AR303" s="16">
        <f t="shared" si="115"/>
        <v>0</v>
      </c>
      <c r="AS303" s="66">
        <f t="shared" si="116"/>
        <v>0</v>
      </c>
      <c r="AT303" s="67">
        <f t="shared" si="117"/>
        <v>0</v>
      </c>
      <c r="AU303" s="68">
        <f t="shared" si="80"/>
        <v>0</v>
      </c>
      <c r="AV303" s="19">
        <f t="shared" si="118"/>
        <v>0</v>
      </c>
      <c r="AW303" s="69">
        <f t="shared" si="119"/>
        <v>0</v>
      </c>
      <c r="AY303" s="65">
        <f t="shared" si="120"/>
        <v>1</v>
      </c>
      <c r="AZ303" s="16">
        <f t="shared" si="121"/>
        <v>0</v>
      </c>
      <c r="BA303" s="16">
        <f t="shared" si="122"/>
        <v>0</v>
      </c>
      <c r="BB303" s="70">
        <f t="shared" si="123"/>
        <v>0</v>
      </c>
      <c r="BC303" s="67">
        <f t="shared" si="124"/>
        <v>0</v>
      </c>
      <c r="BD303" s="71">
        <f t="shared" si="125"/>
        <v>0</v>
      </c>
      <c r="BE303" s="19">
        <f t="shared" si="126"/>
        <v>0</v>
      </c>
      <c r="BF303" s="69">
        <f t="shared" si="127"/>
        <v>0</v>
      </c>
      <c r="BH303" s="72">
        <f t="shared" si="128"/>
        <v>0</v>
      </c>
      <c r="BI303" s="73">
        <f t="shared" si="129"/>
        <v>0</v>
      </c>
      <c r="BJ303" s="74">
        <f t="shared" si="130"/>
        <v>0</v>
      </c>
      <c r="BK303" s="75">
        <f t="shared" si="131"/>
        <v>0</v>
      </c>
      <c r="BM303" s="76">
        <f t="shared" si="132"/>
        <v>1</v>
      </c>
    </row>
    <row r="304" spans="1:65" ht="12.75" customHeight="1" x14ac:dyDescent="0.2">
      <c r="A304" s="47"/>
      <c r="B304" s="48" t="s">
        <v>613</v>
      </c>
      <c r="C304" s="49">
        <v>47500</v>
      </c>
      <c r="D304" s="50">
        <v>13</v>
      </c>
      <c r="E304" s="49">
        <v>38214.410000000003</v>
      </c>
      <c r="F304" s="50" t="s">
        <v>63</v>
      </c>
      <c r="G304" s="51">
        <v>45254</v>
      </c>
      <c r="H304" s="52" t="s">
        <v>56</v>
      </c>
      <c r="I304" s="51">
        <v>45623</v>
      </c>
      <c r="J304" s="52">
        <f t="shared" si="98"/>
        <v>12.3</v>
      </c>
      <c r="K304" s="53" t="s">
        <v>614</v>
      </c>
      <c r="L304" s="53">
        <v>50000</v>
      </c>
      <c r="M304" s="54">
        <v>900.5</v>
      </c>
      <c r="N304" s="54">
        <v>3313.7799999999997</v>
      </c>
      <c r="O304" s="54">
        <v>1032</v>
      </c>
      <c r="P304" s="54">
        <f t="shared" si="69"/>
        <v>0</v>
      </c>
      <c r="Q304" s="54">
        <f t="shared" si="70"/>
        <v>0</v>
      </c>
      <c r="R304" s="55">
        <f t="shared" si="71"/>
        <v>0</v>
      </c>
      <c r="S304" s="55">
        <f t="shared" si="72"/>
        <v>1</v>
      </c>
      <c r="T304" s="56"/>
      <c r="V304" s="57"/>
      <c r="W304" s="58"/>
      <c r="X304" s="58"/>
      <c r="Y304" s="58"/>
      <c r="Z304" s="58"/>
      <c r="AA304" s="58"/>
      <c r="AB304" s="58"/>
      <c r="AC304" s="58"/>
      <c r="AD304" s="59"/>
      <c r="AE304" s="60"/>
      <c r="AF304" s="61"/>
      <c r="AG304" s="59"/>
      <c r="AH304" s="60"/>
      <c r="AI304" s="62"/>
      <c r="AJ304" s="62"/>
      <c r="AK304" s="63"/>
      <c r="AL304" s="64"/>
      <c r="AP304" s="65">
        <f t="shared" si="113"/>
        <v>0</v>
      </c>
      <c r="AQ304" s="16">
        <f t="shared" si="114"/>
        <v>1</v>
      </c>
      <c r="AR304" s="16">
        <f t="shared" si="115"/>
        <v>0</v>
      </c>
      <c r="AS304" s="66">
        <f t="shared" si="116"/>
        <v>0</v>
      </c>
      <c r="AT304" s="67">
        <f t="shared" si="117"/>
        <v>0</v>
      </c>
      <c r="AU304" s="68">
        <f t="shared" si="80"/>
        <v>0</v>
      </c>
      <c r="AV304" s="19">
        <f t="shared" si="118"/>
        <v>0</v>
      </c>
      <c r="AW304" s="69">
        <f t="shared" si="119"/>
        <v>0</v>
      </c>
      <c r="AY304" s="65">
        <f t="shared" si="120"/>
        <v>1</v>
      </c>
      <c r="AZ304" s="16">
        <f t="shared" si="121"/>
        <v>1</v>
      </c>
      <c r="BA304" s="16">
        <f t="shared" si="122"/>
        <v>1</v>
      </c>
      <c r="BB304" s="70">
        <f t="shared" si="123"/>
        <v>4345.78</v>
      </c>
      <c r="BC304" s="67">
        <f t="shared" si="124"/>
        <v>38214.410000000003</v>
      </c>
      <c r="BD304" s="71">
        <f t="shared" si="125"/>
        <v>12.3</v>
      </c>
      <c r="BE304" s="19">
        <f t="shared" si="126"/>
        <v>8.6815475391492456E-3</v>
      </c>
      <c r="BF304" s="69">
        <f t="shared" si="127"/>
        <v>0</v>
      </c>
      <c r="BH304" s="72">
        <f t="shared" si="128"/>
        <v>38214.410000000003</v>
      </c>
      <c r="BI304" s="73">
        <f t="shared" si="129"/>
        <v>1</v>
      </c>
      <c r="BJ304" s="74">
        <f t="shared" si="130"/>
        <v>3.397334128225482E-3</v>
      </c>
      <c r="BK304" s="75">
        <f t="shared" si="131"/>
        <v>0</v>
      </c>
      <c r="BM304" s="76">
        <f t="shared" si="132"/>
        <v>1</v>
      </c>
    </row>
    <row r="305" spans="1:65" ht="12.75" customHeight="1" x14ac:dyDescent="0.2">
      <c r="A305" s="47"/>
      <c r="B305" s="48" t="s">
        <v>615</v>
      </c>
      <c r="C305" s="49">
        <v>50000</v>
      </c>
      <c r="D305" s="50">
        <v>13</v>
      </c>
      <c r="E305" s="49">
        <v>40099.300000000003</v>
      </c>
      <c r="F305" s="50" t="s">
        <v>55</v>
      </c>
      <c r="G305" s="51">
        <v>45260</v>
      </c>
      <c r="H305" s="52" t="s">
        <v>542</v>
      </c>
      <c r="I305" s="51" t="s">
        <v>180</v>
      </c>
      <c r="J305" s="52" t="str">
        <f t="shared" si="98"/>
        <v>N/A</v>
      </c>
      <c r="K305" s="53" t="s">
        <v>180</v>
      </c>
      <c r="L305" s="53" t="s">
        <v>180</v>
      </c>
      <c r="M305" s="54"/>
      <c r="N305" s="54"/>
      <c r="O305" s="54"/>
      <c r="P305" s="54">
        <f t="shared" si="69"/>
        <v>0</v>
      </c>
      <c r="Q305" s="54">
        <f t="shared" si="70"/>
        <v>0</v>
      </c>
      <c r="R305" s="55" t="str">
        <f t="shared" si="71"/>
        <v>N/A</v>
      </c>
      <c r="S305" s="55" t="str">
        <f t="shared" si="72"/>
        <v>N/A</v>
      </c>
      <c r="T305" s="56"/>
      <c r="V305" s="57"/>
      <c r="W305" s="58"/>
      <c r="X305" s="58"/>
      <c r="Y305" s="58"/>
      <c r="Z305" s="58"/>
      <c r="AA305" s="58"/>
      <c r="AB305" s="58">
        <f>AA305+Z305+Y305+X305+V305+W305</f>
        <v>0</v>
      </c>
      <c r="AC305" s="58"/>
      <c r="AD305" s="59"/>
      <c r="AE305" s="60"/>
      <c r="AF305" s="61"/>
      <c r="AG305" s="59"/>
      <c r="AH305" s="60"/>
      <c r="AI305" s="62"/>
      <c r="AJ305" s="62">
        <f>AE305+AH305</f>
        <v>0</v>
      </c>
      <c r="AK305" s="63"/>
      <c r="AL305" s="64">
        <f>W305+X305+Y305+Z305+AK305</f>
        <v>0</v>
      </c>
      <c r="AP305" s="65">
        <f t="shared" si="113"/>
        <v>1</v>
      </c>
      <c r="AQ305" s="16">
        <f t="shared" si="114"/>
        <v>0</v>
      </c>
      <c r="AR305" s="16">
        <f t="shared" si="115"/>
        <v>0</v>
      </c>
      <c r="AS305" s="66">
        <f t="shared" si="116"/>
        <v>0</v>
      </c>
      <c r="AT305" s="67">
        <f t="shared" si="117"/>
        <v>0</v>
      </c>
      <c r="AU305" s="68">
        <f t="shared" si="80"/>
        <v>0</v>
      </c>
      <c r="AV305" s="19">
        <f t="shared" si="118"/>
        <v>0</v>
      </c>
      <c r="AW305" s="69">
        <f t="shared" si="119"/>
        <v>0</v>
      </c>
      <c r="AY305" s="65">
        <f t="shared" si="120"/>
        <v>0</v>
      </c>
      <c r="AZ305" s="16">
        <f t="shared" si="121"/>
        <v>0</v>
      </c>
      <c r="BA305" s="16">
        <f t="shared" si="122"/>
        <v>0</v>
      </c>
      <c r="BB305" s="70">
        <f t="shared" si="123"/>
        <v>0</v>
      </c>
      <c r="BC305" s="67">
        <f t="shared" si="124"/>
        <v>0</v>
      </c>
      <c r="BD305" s="71">
        <f t="shared" si="125"/>
        <v>0</v>
      </c>
      <c r="BE305" s="19">
        <f t="shared" si="126"/>
        <v>0</v>
      </c>
      <c r="BF305" s="69">
        <f t="shared" si="127"/>
        <v>0</v>
      </c>
      <c r="BH305" s="72">
        <f t="shared" si="128"/>
        <v>0</v>
      </c>
      <c r="BI305" s="73">
        <f t="shared" si="129"/>
        <v>0</v>
      </c>
      <c r="BJ305" s="74">
        <f t="shared" si="130"/>
        <v>0</v>
      </c>
      <c r="BK305" s="75">
        <f t="shared" si="131"/>
        <v>0</v>
      </c>
      <c r="BM305" s="76">
        <f t="shared" si="132"/>
        <v>1</v>
      </c>
    </row>
    <row r="306" spans="1:65" ht="12.75" customHeight="1" x14ac:dyDescent="0.2">
      <c r="A306" s="47"/>
      <c r="B306" s="48" t="s">
        <v>616</v>
      </c>
      <c r="C306" s="49">
        <v>50000</v>
      </c>
      <c r="D306" s="50">
        <v>13</v>
      </c>
      <c r="E306" s="49">
        <v>38740.58</v>
      </c>
      <c r="F306" s="50" t="s">
        <v>63</v>
      </c>
      <c r="G306" s="51">
        <v>45273</v>
      </c>
      <c r="H306" s="52" t="s">
        <v>56</v>
      </c>
      <c r="I306" s="51">
        <v>45532</v>
      </c>
      <c r="J306" s="52">
        <f t="shared" si="98"/>
        <v>8.6333333333333329</v>
      </c>
      <c r="K306" s="53" t="s">
        <v>617</v>
      </c>
      <c r="L306" s="53">
        <v>53100</v>
      </c>
      <c r="M306" s="54">
        <v>1236.33</v>
      </c>
      <c r="N306" s="77">
        <v>7526.88</v>
      </c>
      <c r="O306" s="54">
        <v>2518.7199999999998</v>
      </c>
      <c r="P306" s="54">
        <f t="shared" si="69"/>
        <v>0</v>
      </c>
      <c r="Q306" s="54">
        <f t="shared" si="70"/>
        <v>0</v>
      </c>
      <c r="R306" s="55">
        <f t="shared" si="71"/>
        <v>0</v>
      </c>
      <c r="S306" s="55">
        <f t="shared" si="72"/>
        <v>1</v>
      </c>
      <c r="T306" s="56"/>
      <c r="V306" s="57"/>
      <c r="W306" s="58"/>
      <c r="X306" s="58"/>
      <c r="Y306" s="58"/>
      <c r="Z306" s="58"/>
      <c r="AA306" s="58"/>
      <c r="AB306" s="58"/>
      <c r="AC306" s="58"/>
      <c r="AD306" s="59"/>
      <c r="AE306" s="60"/>
      <c r="AF306" s="61"/>
      <c r="AG306" s="59"/>
      <c r="AH306" s="60"/>
      <c r="AI306" s="62"/>
      <c r="AJ306" s="62"/>
      <c r="AK306" s="63"/>
      <c r="AL306" s="64"/>
      <c r="AP306" s="65">
        <f t="shared" si="113"/>
        <v>0</v>
      </c>
      <c r="AQ306" s="16">
        <f t="shared" si="114"/>
        <v>1</v>
      </c>
      <c r="AR306" s="16">
        <f t="shared" si="115"/>
        <v>0</v>
      </c>
      <c r="AS306" s="66">
        <f t="shared" si="116"/>
        <v>0</v>
      </c>
      <c r="AT306" s="67">
        <f t="shared" si="117"/>
        <v>0</v>
      </c>
      <c r="AU306" s="68">
        <f t="shared" si="80"/>
        <v>0</v>
      </c>
      <c r="AV306" s="19">
        <f t="shared" si="118"/>
        <v>0</v>
      </c>
      <c r="AW306" s="69">
        <f t="shared" si="119"/>
        <v>0</v>
      </c>
      <c r="AY306" s="65">
        <f t="shared" si="120"/>
        <v>1</v>
      </c>
      <c r="AZ306" s="16">
        <f t="shared" si="121"/>
        <v>1</v>
      </c>
      <c r="BA306" s="16">
        <f t="shared" si="122"/>
        <v>1</v>
      </c>
      <c r="BB306" s="70">
        <f t="shared" si="123"/>
        <v>10045.6</v>
      </c>
      <c r="BC306" s="67">
        <f t="shared" si="124"/>
        <v>38740.58</v>
      </c>
      <c r="BD306" s="71">
        <f t="shared" si="125"/>
        <v>8.6333333333333329</v>
      </c>
      <c r="BE306" s="19">
        <f t="shared" si="126"/>
        <v>8.8010828104951623E-3</v>
      </c>
      <c r="BF306" s="69">
        <f t="shared" si="127"/>
        <v>0</v>
      </c>
      <c r="BH306" s="72">
        <f t="shared" si="128"/>
        <v>38740.58</v>
      </c>
      <c r="BI306" s="73">
        <f t="shared" si="129"/>
        <v>1</v>
      </c>
      <c r="BJ306" s="74">
        <f t="shared" si="130"/>
        <v>3.4441116474452842E-3</v>
      </c>
      <c r="BK306" s="75">
        <f t="shared" si="131"/>
        <v>0</v>
      </c>
      <c r="BM306" s="76">
        <f t="shared" si="132"/>
        <v>1</v>
      </c>
    </row>
    <row r="307" spans="1:65" ht="12.75" customHeight="1" x14ac:dyDescent="0.2">
      <c r="A307" s="47"/>
      <c r="B307" s="48" t="s">
        <v>618</v>
      </c>
      <c r="C307" s="49">
        <v>79999.990000000005</v>
      </c>
      <c r="D307" s="50">
        <v>13</v>
      </c>
      <c r="E307" s="49">
        <v>78162.78</v>
      </c>
      <c r="F307" s="50" t="s">
        <v>63</v>
      </c>
      <c r="G307" s="51">
        <v>45278</v>
      </c>
      <c r="H307" s="52" t="s">
        <v>56</v>
      </c>
      <c r="I307" s="51">
        <v>45351</v>
      </c>
      <c r="J307" s="52">
        <f t="shared" si="98"/>
        <v>2.4333333333333331</v>
      </c>
      <c r="K307" s="53" t="s">
        <v>619</v>
      </c>
      <c r="L307" s="53">
        <v>95000</v>
      </c>
      <c r="M307" s="54">
        <v>1105.8599999999999</v>
      </c>
      <c r="N307" s="77">
        <v>11222.499999999998</v>
      </c>
      <c r="O307" s="54">
        <v>490</v>
      </c>
      <c r="P307" s="54">
        <f t="shared" si="69"/>
        <v>0</v>
      </c>
      <c r="Q307" s="54">
        <f t="shared" si="70"/>
        <v>0</v>
      </c>
      <c r="R307" s="55">
        <f t="shared" si="71"/>
        <v>0</v>
      </c>
      <c r="S307" s="55">
        <f t="shared" si="72"/>
        <v>1</v>
      </c>
      <c r="T307" s="56"/>
      <c r="V307" s="57">
        <v>209</v>
      </c>
      <c r="W307" s="58"/>
      <c r="X307" s="58">
        <v>14.63</v>
      </c>
      <c r="Y307" s="58"/>
      <c r="Z307" s="58">
        <f>159.6+257.07</f>
        <v>416.66999999999996</v>
      </c>
      <c r="AA307" s="58">
        <v>2177.3200000000002</v>
      </c>
      <c r="AB307" s="58">
        <f t="shared" ref="AB307:AB310" si="165">AA307+Z307+Y307+X307+V307+W307</f>
        <v>2817.6200000000003</v>
      </c>
      <c r="AC307" s="58">
        <v>78162.78</v>
      </c>
      <c r="AD307" s="59">
        <v>1.7500000000000002E-2</v>
      </c>
      <c r="AE307" s="60">
        <f t="shared" ref="AE307:AE308" si="166">((AC307*AD307)/365)*180</f>
        <v>674.55549863013709</v>
      </c>
      <c r="AF307" s="61"/>
      <c r="AG307" s="59"/>
      <c r="AH307" s="60">
        <f t="shared" ref="AH307:AH309" si="167">((AF307*AG307)/365)*180</f>
        <v>0</v>
      </c>
      <c r="AI307" s="62">
        <f t="shared" ref="AI307:AI308" si="168">AC307+AF307</f>
        <v>78162.78</v>
      </c>
      <c r="AJ307" s="62">
        <f t="shared" ref="AJ307:AJ310" si="169">AE307+AH307</f>
        <v>674.55549863013709</v>
      </c>
      <c r="AK307" s="63">
        <f t="shared" ref="AK307:AK310" si="170">IF(AJ307&lt;AA307,AJ307,AA307)</f>
        <v>674.55549863013709</v>
      </c>
      <c r="AL307" s="64">
        <f t="shared" ref="AL307:AL310" si="171">W307+X307+Y307+Z307+AK307</f>
        <v>1105.8554986301369</v>
      </c>
      <c r="AP307" s="65">
        <f t="shared" si="113"/>
        <v>0</v>
      </c>
      <c r="AQ307" s="16">
        <f t="shared" si="114"/>
        <v>1</v>
      </c>
      <c r="AR307" s="16">
        <f t="shared" si="115"/>
        <v>0</v>
      </c>
      <c r="AS307" s="66">
        <f t="shared" si="116"/>
        <v>0</v>
      </c>
      <c r="AT307" s="67">
        <f t="shared" si="117"/>
        <v>0</v>
      </c>
      <c r="AU307" s="68">
        <f t="shared" si="80"/>
        <v>0</v>
      </c>
      <c r="AV307" s="19">
        <f t="shared" si="118"/>
        <v>0</v>
      </c>
      <c r="AW307" s="69">
        <f t="shared" si="119"/>
        <v>0</v>
      </c>
      <c r="AY307" s="65">
        <f t="shared" si="120"/>
        <v>1</v>
      </c>
      <c r="AZ307" s="16">
        <f t="shared" si="121"/>
        <v>1</v>
      </c>
      <c r="BA307" s="16">
        <f t="shared" si="122"/>
        <v>1</v>
      </c>
      <c r="BB307" s="70">
        <f t="shared" si="123"/>
        <v>11712.499999999998</v>
      </c>
      <c r="BC307" s="67">
        <f t="shared" si="124"/>
        <v>78162.78</v>
      </c>
      <c r="BD307" s="71">
        <f t="shared" si="125"/>
        <v>2.4333333333333331</v>
      </c>
      <c r="BE307" s="19">
        <f t="shared" si="126"/>
        <v>1.7757016014693507E-2</v>
      </c>
      <c r="BF307" s="69">
        <f t="shared" si="127"/>
        <v>0</v>
      </c>
      <c r="BH307" s="72">
        <f t="shared" si="128"/>
        <v>78162.78</v>
      </c>
      <c r="BI307" s="73">
        <f t="shared" si="129"/>
        <v>1</v>
      </c>
      <c r="BJ307" s="74">
        <f t="shared" si="130"/>
        <v>6.9488206163847649E-3</v>
      </c>
      <c r="BK307" s="75">
        <f t="shared" si="131"/>
        <v>0</v>
      </c>
      <c r="BM307" s="76">
        <f t="shared" si="132"/>
        <v>1</v>
      </c>
    </row>
    <row r="308" spans="1:65" ht="12.75" customHeight="1" x14ac:dyDescent="0.2">
      <c r="A308" s="47"/>
      <c r="B308" s="48" t="s">
        <v>620</v>
      </c>
      <c r="C308" s="49">
        <v>37500</v>
      </c>
      <c r="D308" s="50">
        <v>13</v>
      </c>
      <c r="E308" s="49">
        <v>26642.799999999999</v>
      </c>
      <c r="F308" s="50" t="s">
        <v>63</v>
      </c>
      <c r="G308" s="51">
        <v>45278</v>
      </c>
      <c r="H308" s="52" t="s">
        <v>56</v>
      </c>
      <c r="I308" s="51">
        <v>45378</v>
      </c>
      <c r="J308" s="52">
        <f t="shared" si="98"/>
        <v>3.3333333333333335</v>
      </c>
      <c r="K308" s="53" t="s">
        <v>621</v>
      </c>
      <c r="L308" s="53">
        <v>56000</v>
      </c>
      <c r="M308" s="54">
        <v>1177.8647589041097</v>
      </c>
      <c r="N308" s="77">
        <v>5952.92</v>
      </c>
      <c r="O308" s="54">
        <v>1484</v>
      </c>
      <c r="P308" s="54">
        <f t="shared" si="69"/>
        <v>0</v>
      </c>
      <c r="Q308" s="54">
        <f t="shared" si="70"/>
        <v>0</v>
      </c>
      <c r="R308" s="55">
        <f t="shared" si="71"/>
        <v>0</v>
      </c>
      <c r="S308" s="55">
        <f t="shared" si="72"/>
        <v>1</v>
      </c>
      <c r="T308" s="56"/>
      <c r="V308" s="57">
        <v>72</v>
      </c>
      <c r="W308" s="58"/>
      <c r="X308" s="58">
        <v>5.04</v>
      </c>
      <c r="Y308" s="58">
        <v>110.82</v>
      </c>
      <c r="Z308" s="58">
        <f>44.91+45+26.37+29.64+33.72</f>
        <v>179.64000000000001</v>
      </c>
      <c r="AA308" s="58">
        <f>956.05+843.51</f>
        <v>1799.56</v>
      </c>
      <c r="AB308" s="58">
        <f t="shared" si="165"/>
        <v>2167.06</v>
      </c>
      <c r="AC308" s="58">
        <v>15151.27</v>
      </c>
      <c r="AD308" s="59">
        <v>6.5000000000000002E-2</v>
      </c>
      <c r="AE308" s="60">
        <f t="shared" si="166"/>
        <v>485.67084657534252</v>
      </c>
      <c r="AF308" s="61">
        <v>11491.53</v>
      </c>
      <c r="AG308" s="59">
        <v>7.0000000000000007E-2</v>
      </c>
      <c r="AH308" s="60">
        <f t="shared" si="167"/>
        <v>396.69391232876717</v>
      </c>
      <c r="AI308" s="62">
        <f t="shared" si="168"/>
        <v>26642.800000000003</v>
      </c>
      <c r="AJ308" s="62">
        <f t="shared" si="169"/>
        <v>882.36475890410975</v>
      </c>
      <c r="AK308" s="63">
        <f t="shared" si="170"/>
        <v>882.36475890410975</v>
      </c>
      <c r="AL308" s="64">
        <f t="shared" si="171"/>
        <v>1177.8647589041097</v>
      </c>
      <c r="AP308" s="65">
        <f t="shared" si="113"/>
        <v>0</v>
      </c>
      <c r="AQ308" s="16">
        <f t="shared" si="114"/>
        <v>1</v>
      </c>
      <c r="AR308" s="16">
        <f t="shared" si="115"/>
        <v>0</v>
      </c>
      <c r="AS308" s="66">
        <f t="shared" si="116"/>
        <v>0</v>
      </c>
      <c r="AT308" s="67">
        <f t="shared" si="117"/>
        <v>0</v>
      </c>
      <c r="AU308" s="68">
        <f t="shared" si="80"/>
        <v>0</v>
      </c>
      <c r="AV308" s="19">
        <f t="shared" si="118"/>
        <v>0</v>
      </c>
      <c r="AW308" s="69">
        <f t="shared" si="119"/>
        <v>0</v>
      </c>
      <c r="AY308" s="65">
        <f t="shared" si="120"/>
        <v>1</v>
      </c>
      <c r="AZ308" s="16">
        <f t="shared" si="121"/>
        <v>1</v>
      </c>
      <c r="BA308" s="16">
        <f t="shared" si="122"/>
        <v>1</v>
      </c>
      <c r="BB308" s="70">
        <f t="shared" si="123"/>
        <v>7436.92</v>
      </c>
      <c r="BC308" s="67">
        <f t="shared" si="124"/>
        <v>26642.799999999999</v>
      </c>
      <c r="BD308" s="71">
        <f t="shared" si="125"/>
        <v>3.3333333333333335</v>
      </c>
      <c r="BE308" s="19">
        <f t="shared" si="126"/>
        <v>6.05270982270943E-3</v>
      </c>
      <c r="BF308" s="69">
        <f t="shared" si="127"/>
        <v>0</v>
      </c>
      <c r="BH308" s="72">
        <f t="shared" si="128"/>
        <v>26642.799999999999</v>
      </c>
      <c r="BI308" s="73">
        <f t="shared" si="129"/>
        <v>1</v>
      </c>
      <c r="BJ308" s="74">
        <f t="shared" si="130"/>
        <v>2.3685958702878277E-3</v>
      </c>
      <c r="BK308" s="75">
        <f t="shared" si="131"/>
        <v>0</v>
      </c>
      <c r="BM308" s="76">
        <f t="shared" si="132"/>
        <v>1</v>
      </c>
    </row>
    <row r="309" spans="1:65" ht="12.75" customHeight="1" x14ac:dyDescent="0.2">
      <c r="A309" s="47"/>
      <c r="B309" s="48" t="s">
        <v>622</v>
      </c>
      <c r="C309" s="49">
        <v>46408</v>
      </c>
      <c r="D309" s="50">
        <v>13</v>
      </c>
      <c r="E309" s="49">
        <v>44200.87</v>
      </c>
      <c r="F309" s="50" t="s">
        <v>55</v>
      </c>
      <c r="G309" s="51">
        <v>45288</v>
      </c>
      <c r="H309" s="52" t="s">
        <v>56</v>
      </c>
      <c r="I309" s="51">
        <v>45289</v>
      </c>
      <c r="J309" s="52">
        <f t="shared" si="98"/>
        <v>3.3333333333333333E-2</v>
      </c>
      <c r="K309" s="53" t="s">
        <v>623</v>
      </c>
      <c r="L309" s="53">
        <v>70000</v>
      </c>
      <c r="M309" s="54">
        <v>3973.89</v>
      </c>
      <c r="N309" s="54">
        <v>20610.64</v>
      </c>
      <c r="O309" s="54">
        <v>2759.61</v>
      </c>
      <c r="P309" s="54">
        <f t="shared" si="69"/>
        <v>0</v>
      </c>
      <c r="Q309" s="54">
        <f t="shared" si="70"/>
        <v>1545.0100000000016</v>
      </c>
      <c r="R309" s="55">
        <f t="shared" si="71"/>
        <v>3.4954289361272789E-2</v>
      </c>
      <c r="S309" s="55">
        <f t="shared" si="72"/>
        <v>0.96504571063872724</v>
      </c>
      <c r="T309" s="56"/>
      <c r="V309" s="57">
        <v>744</v>
      </c>
      <c r="W309" s="58"/>
      <c r="X309" s="58">
        <v>52.08</v>
      </c>
      <c r="Y309" s="58"/>
      <c r="Z309" s="58">
        <f>573.81+3348</f>
        <v>3921.81</v>
      </c>
      <c r="AA309" s="58">
        <v>5502.87</v>
      </c>
      <c r="AB309" s="58">
        <f t="shared" si="165"/>
        <v>10220.76</v>
      </c>
      <c r="AC309" s="58">
        <v>44200.87</v>
      </c>
      <c r="AD309" s="59">
        <v>1.7500000000000002E-2</v>
      </c>
      <c r="AE309" s="60"/>
      <c r="AF309" s="61"/>
      <c r="AG309" s="59"/>
      <c r="AH309" s="60">
        <f t="shared" si="167"/>
        <v>0</v>
      </c>
      <c r="AI309" s="62"/>
      <c r="AJ309" s="62">
        <f t="shared" si="169"/>
        <v>0</v>
      </c>
      <c r="AK309" s="63">
        <f t="shared" si="170"/>
        <v>0</v>
      </c>
      <c r="AL309" s="64">
        <f t="shared" si="171"/>
        <v>3973.89</v>
      </c>
      <c r="AP309" s="65">
        <f t="shared" si="113"/>
        <v>1</v>
      </c>
      <c r="AQ309" s="16">
        <f t="shared" si="114"/>
        <v>1</v>
      </c>
      <c r="AR309" s="16">
        <f t="shared" si="115"/>
        <v>1</v>
      </c>
      <c r="AS309" s="66">
        <f t="shared" si="116"/>
        <v>23370.25</v>
      </c>
      <c r="AT309" s="67">
        <f t="shared" si="117"/>
        <v>44200.87</v>
      </c>
      <c r="AU309" s="68">
        <f t="shared" si="80"/>
        <v>3.3333333333333333E-2</v>
      </c>
      <c r="AV309" s="19">
        <f t="shared" si="118"/>
        <v>6.4559286126813289E-3</v>
      </c>
      <c r="AW309" s="69">
        <f t="shared" si="119"/>
        <v>2.2566239682338357E-4</v>
      </c>
      <c r="AY309" s="65">
        <f t="shared" si="120"/>
        <v>0</v>
      </c>
      <c r="AZ309" s="16">
        <f t="shared" si="121"/>
        <v>1</v>
      </c>
      <c r="BA309" s="16">
        <f t="shared" si="122"/>
        <v>0</v>
      </c>
      <c r="BB309" s="70">
        <f t="shared" si="123"/>
        <v>0</v>
      </c>
      <c r="BC309" s="67">
        <f t="shared" si="124"/>
        <v>0</v>
      </c>
      <c r="BD309" s="71">
        <f t="shared" si="125"/>
        <v>0</v>
      </c>
      <c r="BE309" s="19">
        <f t="shared" si="126"/>
        <v>0</v>
      </c>
      <c r="BF309" s="69">
        <f t="shared" si="127"/>
        <v>0</v>
      </c>
      <c r="BH309" s="72">
        <f t="shared" si="128"/>
        <v>44200.87</v>
      </c>
      <c r="BI309" s="73">
        <f t="shared" si="129"/>
        <v>1</v>
      </c>
      <c r="BJ309" s="74">
        <f t="shared" si="130"/>
        <v>3.9295418704163657E-3</v>
      </c>
      <c r="BK309" s="75">
        <f t="shared" si="131"/>
        <v>1.3735434359577075E-4</v>
      </c>
      <c r="BM309" s="76">
        <f t="shared" si="132"/>
        <v>1</v>
      </c>
    </row>
    <row r="310" spans="1:65" ht="12.75" customHeight="1" x14ac:dyDescent="0.2">
      <c r="A310" s="47"/>
      <c r="B310" s="48" t="s">
        <v>624</v>
      </c>
      <c r="C310" s="49">
        <v>40000</v>
      </c>
      <c r="D310" s="50">
        <v>13</v>
      </c>
      <c r="E310" s="49">
        <v>30801.71</v>
      </c>
      <c r="F310" s="50" t="s">
        <v>55</v>
      </c>
      <c r="G310" s="51">
        <v>45288</v>
      </c>
      <c r="H310" s="52" t="s">
        <v>56</v>
      </c>
      <c r="I310" s="51">
        <v>45411</v>
      </c>
      <c r="J310" s="52">
        <f t="shared" si="98"/>
        <v>4.0999999999999996</v>
      </c>
      <c r="K310" s="53" t="s">
        <v>625</v>
      </c>
      <c r="L310" s="53">
        <v>52000</v>
      </c>
      <c r="M310" s="54">
        <v>809.76</v>
      </c>
      <c r="N310" s="77">
        <v>6816.34</v>
      </c>
      <c r="O310" s="54">
        <v>2984.56</v>
      </c>
      <c r="P310" s="54">
        <f t="shared" si="69"/>
        <v>0</v>
      </c>
      <c r="Q310" s="54">
        <f t="shared" si="70"/>
        <v>0</v>
      </c>
      <c r="R310" s="55">
        <f t="shared" si="71"/>
        <v>0</v>
      </c>
      <c r="S310" s="55">
        <f t="shared" si="72"/>
        <v>1</v>
      </c>
      <c r="T310" s="56"/>
      <c r="V310" s="57">
        <v>625.5</v>
      </c>
      <c r="W310" s="58"/>
      <c r="X310" s="58">
        <v>43.79</v>
      </c>
      <c r="Y310" s="58"/>
      <c r="Z310" s="58">
        <f>210+260.5+257.5</f>
        <v>728</v>
      </c>
      <c r="AA310" s="58">
        <v>322.57</v>
      </c>
      <c r="AB310" s="58">
        <f t="shared" si="165"/>
        <v>1719.86</v>
      </c>
      <c r="AC310" s="58">
        <v>30801.71</v>
      </c>
      <c r="AD310" s="59">
        <v>2.5000000000000001E-3</v>
      </c>
      <c r="AE310" s="60">
        <f>((AC310*AD310)/365)*180</f>
        <v>37.974710958904112</v>
      </c>
      <c r="AF310" s="61"/>
      <c r="AG310" s="59"/>
      <c r="AH310" s="60"/>
      <c r="AI310" s="62"/>
      <c r="AJ310" s="62">
        <f t="shared" si="169"/>
        <v>37.974710958904112</v>
      </c>
      <c r="AK310" s="63">
        <f t="shared" si="170"/>
        <v>37.974710958904112</v>
      </c>
      <c r="AL310" s="64">
        <f t="shared" si="171"/>
        <v>809.76471095890406</v>
      </c>
      <c r="AP310" s="65">
        <f t="shared" si="113"/>
        <v>1</v>
      </c>
      <c r="AQ310" s="16">
        <f t="shared" si="114"/>
        <v>1</v>
      </c>
      <c r="AR310" s="16">
        <f t="shared" si="115"/>
        <v>1</v>
      </c>
      <c r="AS310" s="66">
        <f t="shared" si="116"/>
        <v>9800.9</v>
      </c>
      <c r="AT310" s="67">
        <f t="shared" si="117"/>
        <v>30801.71</v>
      </c>
      <c r="AU310" s="68">
        <f t="shared" si="80"/>
        <v>4.0999999999999996</v>
      </c>
      <c r="AV310" s="19">
        <f t="shared" si="118"/>
        <v>4.4988625995034167E-3</v>
      </c>
      <c r="AW310" s="69">
        <f t="shared" si="119"/>
        <v>0</v>
      </c>
      <c r="AY310" s="65">
        <f t="shared" si="120"/>
        <v>0</v>
      </c>
      <c r="AZ310" s="16">
        <f t="shared" si="121"/>
        <v>1</v>
      </c>
      <c r="BA310" s="16">
        <f t="shared" si="122"/>
        <v>0</v>
      </c>
      <c r="BB310" s="70">
        <f t="shared" si="123"/>
        <v>0</v>
      </c>
      <c r="BC310" s="67">
        <f t="shared" si="124"/>
        <v>0</v>
      </c>
      <c r="BD310" s="71">
        <f t="shared" si="125"/>
        <v>0</v>
      </c>
      <c r="BE310" s="19">
        <f t="shared" si="126"/>
        <v>0</v>
      </c>
      <c r="BF310" s="69">
        <f t="shared" si="127"/>
        <v>0</v>
      </c>
      <c r="BH310" s="72">
        <f t="shared" si="128"/>
        <v>30801.71</v>
      </c>
      <c r="BI310" s="73">
        <f t="shared" si="129"/>
        <v>1</v>
      </c>
      <c r="BJ310" s="74">
        <f t="shared" si="130"/>
        <v>2.7383309225683218E-3</v>
      </c>
      <c r="BK310" s="75">
        <f t="shared" si="131"/>
        <v>0</v>
      </c>
      <c r="BM310" s="76">
        <f t="shared" si="132"/>
        <v>1</v>
      </c>
    </row>
    <row r="311" spans="1:65" ht="12.75" customHeight="1" x14ac:dyDescent="0.2">
      <c r="A311" s="47"/>
      <c r="B311" s="48" t="s">
        <v>626</v>
      </c>
      <c r="C311" s="49">
        <v>78838.14</v>
      </c>
      <c r="D311" s="50">
        <v>13</v>
      </c>
      <c r="E311" s="49">
        <v>75126.95</v>
      </c>
      <c r="F311" s="50" t="s">
        <v>63</v>
      </c>
      <c r="G311" s="51">
        <v>45390</v>
      </c>
      <c r="H311" s="52" t="s">
        <v>56</v>
      </c>
      <c r="I311" s="51">
        <v>45563</v>
      </c>
      <c r="J311" s="52">
        <f t="shared" si="98"/>
        <v>5.7666666666666666</v>
      </c>
      <c r="K311" s="53" t="s">
        <v>627</v>
      </c>
      <c r="L311" s="53">
        <v>78000</v>
      </c>
      <c r="M311" s="54">
        <v>1406.57</v>
      </c>
      <c r="N311" s="77">
        <v>6943.98</v>
      </c>
      <c r="O311" s="54">
        <v>70</v>
      </c>
      <c r="P311" s="54">
        <f t="shared" si="69"/>
        <v>0</v>
      </c>
      <c r="Q311" s="54">
        <f t="shared" si="70"/>
        <v>5547.4999999999964</v>
      </c>
      <c r="R311" s="55">
        <f t="shared" si="71"/>
        <v>7.3841677320854851E-2</v>
      </c>
      <c r="S311" s="55">
        <f t="shared" si="72"/>
        <v>0.92615832267914511</v>
      </c>
      <c r="T311" s="56"/>
      <c r="V311" s="57"/>
      <c r="W311" s="58"/>
      <c r="X311" s="58"/>
      <c r="Y311" s="58"/>
      <c r="Z311" s="58"/>
      <c r="AA311" s="58"/>
      <c r="AB311" s="58"/>
      <c r="AC311" s="58"/>
      <c r="AD311" s="59"/>
      <c r="AE311" s="60"/>
      <c r="AF311" s="61"/>
      <c r="AG311" s="59"/>
      <c r="AH311" s="60"/>
      <c r="AI311" s="62"/>
      <c r="AJ311" s="62"/>
      <c r="AK311" s="63"/>
      <c r="AL311" s="64"/>
      <c r="AP311" s="65">
        <f t="shared" si="113"/>
        <v>0</v>
      </c>
      <c r="AQ311" s="16">
        <f t="shared" si="114"/>
        <v>1</v>
      </c>
      <c r="AR311" s="16">
        <f t="shared" si="115"/>
        <v>0</v>
      </c>
      <c r="AS311" s="66">
        <f t="shared" si="116"/>
        <v>0</v>
      </c>
      <c r="AT311" s="67">
        <f t="shared" si="117"/>
        <v>0</v>
      </c>
      <c r="AU311" s="68">
        <f t="shared" si="80"/>
        <v>0</v>
      </c>
      <c r="AV311" s="19">
        <f t="shared" si="118"/>
        <v>0</v>
      </c>
      <c r="AW311" s="69">
        <f t="shared" si="119"/>
        <v>0</v>
      </c>
      <c r="AY311" s="65">
        <f t="shared" si="120"/>
        <v>1</v>
      </c>
      <c r="AZ311" s="16">
        <f t="shared" si="121"/>
        <v>1</v>
      </c>
      <c r="BA311" s="16">
        <f t="shared" si="122"/>
        <v>1</v>
      </c>
      <c r="BB311" s="70">
        <f t="shared" si="123"/>
        <v>7013.98</v>
      </c>
      <c r="BC311" s="67">
        <f t="shared" si="124"/>
        <v>75126.95</v>
      </c>
      <c r="BD311" s="71">
        <f t="shared" si="125"/>
        <v>5.7666666666666666</v>
      </c>
      <c r="BE311" s="19">
        <f t="shared" si="126"/>
        <v>1.706733632408006E-2</v>
      </c>
      <c r="BF311" s="69">
        <f t="shared" si="127"/>
        <v>1.2602807415692248E-3</v>
      </c>
      <c r="BH311" s="72">
        <f t="shared" si="128"/>
        <v>75126.95</v>
      </c>
      <c r="BI311" s="73">
        <f t="shared" si="129"/>
        <v>1</v>
      </c>
      <c r="BJ311" s="74">
        <f t="shared" si="130"/>
        <v>6.678929523823326E-3</v>
      </c>
      <c r="BK311" s="75">
        <f t="shared" si="131"/>
        <v>4.9318335874689277E-4</v>
      </c>
      <c r="BM311" s="76">
        <f t="shared" si="132"/>
        <v>1</v>
      </c>
    </row>
    <row r="312" spans="1:65" ht="12.75" customHeight="1" x14ac:dyDescent="0.2">
      <c r="A312" s="47"/>
      <c r="B312" s="48" t="s">
        <v>628</v>
      </c>
      <c r="C312" s="49">
        <v>34886.699999999997</v>
      </c>
      <c r="D312" s="50">
        <v>13</v>
      </c>
      <c r="E312" s="49">
        <v>25046.77</v>
      </c>
      <c r="F312" s="50" t="s">
        <v>55</v>
      </c>
      <c r="G312" s="51">
        <v>45288</v>
      </c>
      <c r="H312" s="52" t="s">
        <v>56</v>
      </c>
      <c r="I312" s="51">
        <v>45378</v>
      </c>
      <c r="J312" s="52">
        <f t="shared" si="98"/>
        <v>3</v>
      </c>
      <c r="K312" s="53" t="s">
        <v>629</v>
      </c>
      <c r="L312" s="53">
        <v>52000</v>
      </c>
      <c r="M312" s="54">
        <v>332.93957945205477</v>
      </c>
      <c r="N312" s="77">
        <v>9147.869999999999</v>
      </c>
      <c r="O312" s="54">
        <v>1800.4</v>
      </c>
      <c r="P312" s="54">
        <f t="shared" si="69"/>
        <v>0</v>
      </c>
      <c r="Q312" s="54">
        <f t="shared" si="70"/>
        <v>0</v>
      </c>
      <c r="R312" s="55">
        <f t="shared" si="71"/>
        <v>0</v>
      </c>
      <c r="S312" s="55">
        <f t="shared" si="72"/>
        <v>1</v>
      </c>
      <c r="T312" s="56"/>
      <c r="V312" s="57">
        <v>176</v>
      </c>
      <c r="W312" s="58"/>
      <c r="X312" s="58">
        <v>12.32</v>
      </c>
      <c r="Y312" s="58"/>
      <c r="Z312" s="58">
        <f>102.08+79.64+108.02</f>
        <v>289.74</v>
      </c>
      <c r="AA312" s="58">
        <v>117.69</v>
      </c>
      <c r="AB312" s="58">
        <f>AA312+Z312+Y312+X312+V312+W312</f>
        <v>595.75</v>
      </c>
      <c r="AC312" s="58">
        <v>25046.77</v>
      </c>
      <c r="AD312" s="59">
        <v>2.5000000000000001E-3</v>
      </c>
      <c r="AE312" s="60">
        <f>((AC312*AD312)/365)*180</f>
        <v>30.879579452054795</v>
      </c>
      <c r="AF312" s="61"/>
      <c r="AG312" s="59"/>
      <c r="AH312" s="60">
        <f>((AF312*AG312)/365)*180</f>
        <v>0</v>
      </c>
      <c r="AI312" s="62">
        <f>AC312+AF312</f>
        <v>25046.77</v>
      </c>
      <c r="AJ312" s="62">
        <f>AE312+AH312</f>
        <v>30.879579452054795</v>
      </c>
      <c r="AK312" s="63">
        <f>IF(AJ312&lt;AA312,AJ312,AA312)</f>
        <v>30.879579452054795</v>
      </c>
      <c r="AL312" s="64">
        <f>W312+X312+Y312+Z312+AK312</f>
        <v>332.93957945205477</v>
      </c>
      <c r="AP312" s="65">
        <f t="shared" si="113"/>
        <v>1</v>
      </c>
      <c r="AQ312" s="16">
        <f t="shared" si="114"/>
        <v>1</v>
      </c>
      <c r="AR312" s="16">
        <f t="shared" si="115"/>
        <v>1</v>
      </c>
      <c r="AS312" s="66">
        <f t="shared" si="116"/>
        <v>10948.269999999999</v>
      </c>
      <c r="AT312" s="67">
        <f t="shared" si="117"/>
        <v>25046.77</v>
      </c>
      <c r="AU312" s="68">
        <f t="shared" si="80"/>
        <v>3</v>
      </c>
      <c r="AV312" s="19">
        <f t="shared" si="118"/>
        <v>3.6583026329175946E-3</v>
      </c>
      <c r="AW312" s="69">
        <f t="shared" si="119"/>
        <v>0</v>
      </c>
      <c r="AY312" s="65">
        <f t="shared" si="120"/>
        <v>0</v>
      </c>
      <c r="AZ312" s="16">
        <f t="shared" si="121"/>
        <v>1</v>
      </c>
      <c r="BA312" s="16">
        <f t="shared" si="122"/>
        <v>0</v>
      </c>
      <c r="BB312" s="70">
        <f t="shared" si="123"/>
        <v>0</v>
      </c>
      <c r="BC312" s="67">
        <f t="shared" si="124"/>
        <v>0</v>
      </c>
      <c r="BD312" s="71">
        <f t="shared" si="125"/>
        <v>0</v>
      </c>
      <c r="BE312" s="19">
        <f t="shared" si="126"/>
        <v>0</v>
      </c>
      <c r="BF312" s="69">
        <f t="shared" si="127"/>
        <v>0</v>
      </c>
      <c r="BH312" s="72">
        <f t="shared" si="128"/>
        <v>25046.77</v>
      </c>
      <c r="BI312" s="73">
        <f t="shared" si="129"/>
        <v>1</v>
      </c>
      <c r="BJ312" s="74">
        <f t="shared" si="130"/>
        <v>2.2267057511240959E-3</v>
      </c>
      <c r="BK312" s="75">
        <f t="shared" si="131"/>
        <v>0</v>
      </c>
      <c r="BM312" s="76">
        <f t="shared" si="132"/>
        <v>1</v>
      </c>
    </row>
    <row r="313" spans="1:65" ht="12.75" customHeight="1" x14ac:dyDescent="0.2">
      <c r="A313" s="47"/>
      <c r="B313" s="48" t="s">
        <v>630</v>
      </c>
      <c r="C313" s="49">
        <v>45000</v>
      </c>
      <c r="D313" s="50">
        <v>13</v>
      </c>
      <c r="E313" s="49">
        <v>35152.720000000001</v>
      </c>
      <c r="F313" s="50" t="s">
        <v>55</v>
      </c>
      <c r="G313" s="51">
        <v>45288</v>
      </c>
      <c r="H313" s="52" t="s">
        <v>56</v>
      </c>
      <c r="I313" s="51">
        <v>45503</v>
      </c>
      <c r="J313" s="52">
        <f t="shared" si="98"/>
        <v>7.166666666666667</v>
      </c>
      <c r="K313" s="53" t="s">
        <v>631</v>
      </c>
      <c r="L313" s="53">
        <v>52000</v>
      </c>
      <c r="M313" s="54">
        <v>2757.56</v>
      </c>
      <c r="N313" s="54">
        <v>7682.81</v>
      </c>
      <c r="O313" s="54">
        <v>2454.6</v>
      </c>
      <c r="P313" s="54">
        <f t="shared" si="69"/>
        <v>0</v>
      </c>
      <c r="Q313" s="54">
        <f t="shared" si="70"/>
        <v>0</v>
      </c>
      <c r="R313" s="55">
        <f t="shared" si="71"/>
        <v>0</v>
      </c>
      <c r="S313" s="55">
        <f t="shared" si="72"/>
        <v>1</v>
      </c>
      <c r="T313" s="56"/>
      <c r="V313" s="57"/>
      <c r="W313" s="58"/>
      <c r="X313" s="58"/>
      <c r="Y313" s="58"/>
      <c r="Z313" s="58"/>
      <c r="AA313" s="58"/>
      <c r="AB313" s="58"/>
      <c r="AC313" s="58"/>
      <c r="AD313" s="59"/>
      <c r="AE313" s="60"/>
      <c r="AF313" s="61"/>
      <c r="AG313" s="59"/>
      <c r="AH313" s="60"/>
      <c r="AI313" s="62"/>
      <c r="AJ313" s="62"/>
      <c r="AK313" s="63"/>
      <c r="AL313" s="64"/>
      <c r="AP313" s="65">
        <f t="shared" si="113"/>
        <v>1</v>
      </c>
      <c r="AQ313" s="16">
        <f t="shared" si="114"/>
        <v>1</v>
      </c>
      <c r="AR313" s="16">
        <f t="shared" si="115"/>
        <v>1</v>
      </c>
      <c r="AS313" s="66">
        <f t="shared" si="116"/>
        <v>10137.41</v>
      </c>
      <c r="AT313" s="67">
        <f t="shared" si="117"/>
        <v>35152.720000000001</v>
      </c>
      <c r="AU313" s="68">
        <f t="shared" si="80"/>
        <v>7.166666666666667</v>
      </c>
      <c r="AV313" s="19">
        <f t="shared" si="118"/>
        <v>5.1343661530095491E-3</v>
      </c>
      <c r="AW313" s="69">
        <f t="shared" si="119"/>
        <v>0</v>
      </c>
      <c r="AY313" s="65">
        <f t="shared" si="120"/>
        <v>0</v>
      </c>
      <c r="AZ313" s="16">
        <f t="shared" si="121"/>
        <v>1</v>
      </c>
      <c r="BA313" s="16">
        <f t="shared" si="122"/>
        <v>0</v>
      </c>
      <c r="BB313" s="70">
        <f t="shared" si="123"/>
        <v>0</v>
      </c>
      <c r="BC313" s="67">
        <f t="shared" si="124"/>
        <v>0</v>
      </c>
      <c r="BD313" s="71">
        <f t="shared" si="125"/>
        <v>0</v>
      </c>
      <c r="BE313" s="19">
        <f t="shared" si="126"/>
        <v>0</v>
      </c>
      <c r="BF313" s="69">
        <f t="shared" si="127"/>
        <v>0</v>
      </c>
      <c r="BH313" s="72">
        <f t="shared" si="128"/>
        <v>35152.720000000001</v>
      </c>
      <c r="BI313" s="73">
        <f t="shared" si="129"/>
        <v>1</v>
      </c>
      <c r="BJ313" s="74">
        <f t="shared" si="130"/>
        <v>3.1251440322107413E-3</v>
      </c>
      <c r="BK313" s="75">
        <f t="shared" si="131"/>
        <v>0</v>
      </c>
      <c r="BM313" s="76">
        <f t="shared" si="132"/>
        <v>1</v>
      </c>
    </row>
    <row r="314" spans="1:65" ht="12.75" customHeight="1" x14ac:dyDescent="0.2">
      <c r="A314" s="47"/>
      <c r="B314" s="48" t="s">
        <v>632</v>
      </c>
      <c r="C314" s="49">
        <v>72500</v>
      </c>
      <c r="D314" s="50">
        <v>13</v>
      </c>
      <c r="E314" s="49">
        <v>55737.21</v>
      </c>
      <c r="F314" s="50" t="s">
        <v>55</v>
      </c>
      <c r="G314" s="51">
        <v>45289</v>
      </c>
      <c r="H314" s="52" t="s">
        <v>542</v>
      </c>
      <c r="I314" s="51" t="s">
        <v>180</v>
      </c>
      <c r="J314" s="52" t="str">
        <f t="shared" si="98"/>
        <v>N/A</v>
      </c>
      <c r="K314" s="53" t="s">
        <v>180</v>
      </c>
      <c r="L314" s="53" t="s">
        <v>180</v>
      </c>
      <c r="M314" s="54"/>
      <c r="N314" s="54"/>
      <c r="O314" s="54"/>
      <c r="P314" s="54">
        <f t="shared" si="69"/>
        <v>0</v>
      </c>
      <c r="Q314" s="54">
        <f t="shared" si="70"/>
        <v>0</v>
      </c>
      <c r="R314" s="55" t="str">
        <f t="shared" si="71"/>
        <v>N/A</v>
      </c>
      <c r="S314" s="55" t="str">
        <f t="shared" si="72"/>
        <v>N/A</v>
      </c>
      <c r="T314" s="56"/>
      <c r="V314" s="57"/>
      <c r="W314" s="58"/>
      <c r="X314" s="58"/>
      <c r="Y314" s="58"/>
      <c r="Z314" s="58"/>
      <c r="AA314" s="58"/>
      <c r="AB314" s="58">
        <f>AA314+Z314+Y314+X314+V314+W314</f>
        <v>0</v>
      </c>
      <c r="AC314" s="58"/>
      <c r="AD314" s="59"/>
      <c r="AE314" s="60"/>
      <c r="AF314" s="61"/>
      <c r="AG314" s="59"/>
      <c r="AH314" s="60"/>
      <c r="AI314" s="62"/>
      <c r="AJ314" s="62">
        <f>AE314+AH314</f>
        <v>0</v>
      </c>
      <c r="AK314" s="63"/>
      <c r="AL314" s="64">
        <f>W314+X314+Y314+Z314+AK314</f>
        <v>0</v>
      </c>
      <c r="AP314" s="65">
        <f t="shared" si="113"/>
        <v>1</v>
      </c>
      <c r="AQ314" s="16">
        <f t="shared" si="114"/>
        <v>0</v>
      </c>
      <c r="AR314" s="16">
        <f t="shared" si="115"/>
        <v>0</v>
      </c>
      <c r="AS314" s="66">
        <f t="shared" si="116"/>
        <v>0</v>
      </c>
      <c r="AT314" s="67">
        <f t="shared" si="117"/>
        <v>0</v>
      </c>
      <c r="AU314" s="68">
        <f t="shared" si="80"/>
        <v>0</v>
      </c>
      <c r="AV314" s="19">
        <f t="shared" si="118"/>
        <v>0</v>
      </c>
      <c r="AW314" s="69">
        <f t="shared" si="119"/>
        <v>0</v>
      </c>
      <c r="AY314" s="65">
        <f t="shared" si="120"/>
        <v>0</v>
      </c>
      <c r="AZ314" s="16">
        <f t="shared" si="121"/>
        <v>0</v>
      </c>
      <c r="BA314" s="16">
        <f t="shared" si="122"/>
        <v>0</v>
      </c>
      <c r="BB314" s="70">
        <f t="shared" si="123"/>
        <v>0</v>
      </c>
      <c r="BC314" s="67">
        <f t="shared" si="124"/>
        <v>0</v>
      </c>
      <c r="BD314" s="71">
        <f t="shared" si="125"/>
        <v>0</v>
      </c>
      <c r="BE314" s="19">
        <f t="shared" si="126"/>
        <v>0</v>
      </c>
      <c r="BF314" s="69">
        <f t="shared" si="127"/>
        <v>0</v>
      </c>
      <c r="BH314" s="72">
        <f t="shared" si="128"/>
        <v>0</v>
      </c>
      <c r="BI314" s="73">
        <f t="shared" si="129"/>
        <v>0</v>
      </c>
      <c r="BJ314" s="74">
        <f t="shared" si="130"/>
        <v>0</v>
      </c>
      <c r="BK314" s="75">
        <f t="shared" si="131"/>
        <v>0</v>
      </c>
      <c r="BM314" s="76">
        <f t="shared" si="132"/>
        <v>1</v>
      </c>
    </row>
    <row r="315" spans="1:65" ht="12.75" customHeight="1" x14ac:dyDescent="0.2">
      <c r="A315" s="47"/>
      <c r="B315" s="48" t="s">
        <v>633</v>
      </c>
      <c r="C315" s="49">
        <v>50000</v>
      </c>
      <c r="D315" s="50">
        <v>13</v>
      </c>
      <c r="E315" s="49">
        <v>36251.25</v>
      </c>
      <c r="F315" s="50" t="s">
        <v>55</v>
      </c>
      <c r="G315" s="51">
        <v>45288</v>
      </c>
      <c r="H315" s="52" t="s">
        <v>56</v>
      </c>
      <c r="I315" s="51">
        <v>45562</v>
      </c>
      <c r="J315" s="52">
        <f t="shared" si="98"/>
        <v>9.1333333333333329</v>
      </c>
      <c r="K315" s="53" t="s">
        <v>634</v>
      </c>
      <c r="L315" s="53">
        <v>45000</v>
      </c>
      <c r="M315" s="54">
        <v>2432.06</v>
      </c>
      <c r="N315" s="77">
        <v>8394.82</v>
      </c>
      <c r="O315" s="54">
        <v>335</v>
      </c>
      <c r="P315" s="54">
        <f t="shared" si="69"/>
        <v>0</v>
      </c>
      <c r="Q315" s="54">
        <f t="shared" si="70"/>
        <v>2413.1299999999992</v>
      </c>
      <c r="R315" s="55">
        <f t="shared" si="71"/>
        <v>6.6566808041102016E-2</v>
      </c>
      <c r="S315" s="55">
        <f t="shared" si="72"/>
        <v>0.93343319195889796</v>
      </c>
      <c r="T315" s="56"/>
      <c r="V315" s="57"/>
      <c r="W315" s="58"/>
      <c r="X315" s="58"/>
      <c r="Y315" s="58"/>
      <c r="Z315" s="58"/>
      <c r="AA315" s="58"/>
      <c r="AB315" s="58"/>
      <c r="AC315" s="58"/>
      <c r="AD315" s="59"/>
      <c r="AE315" s="60"/>
      <c r="AF315" s="61"/>
      <c r="AG315" s="59"/>
      <c r="AH315" s="60"/>
      <c r="AI315" s="62"/>
      <c r="AJ315" s="62"/>
      <c r="AK315" s="63"/>
      <c r="AL315" s="64"/>
      <c r="AP315" s="65">
        <f t="shared" si="113"/>
        <v>1</v>
      </c>
      <c r="AQ315" s="16">
        <f t="shared" si="114"/>
        <v>1</v>
      </c>
      <c r="AR315" s="16">
        <f t="shared" si="115"/>
        <v>1</v>
      </c>
      <c r="AS315" s="66">
        <f t="shared" si="116"/>
        <v>8729.82</v>
      </c>
      <c r="AT315" s="67">
        <f t="shared" si="117"/>
        <v>36251.25</v>
      </c>
      <c r="AU315" s="68">
        <f t="shared" si="80"/>
        <v>9.1333333333333329</v>
      </c>
      <c r="AV315" s="19">
        <f t="shared" si="118"/>
        <v>5.2948161907325356E-3</v>
      </c>
      <c r="AW315" s="69">
        <f t="shared" si="119"/>
        <v>3.5245901298141169E-4</v>
      </c>
      <c r="AY315" s="65">
        <f t="shared" si="120"/>
        <v>0</v>
      </c>
      <c r="AZ315" s="16">
        <f t="shared" si="121"/>
        <v>1</v>
      </c>
      <c r="BA315" s="16">
        <f t="shared" si="122"/>
        <v>0</v>
      </c>
      <c r="BB315" s="70">
        <f t="shared" si="123"/>
        <v>0</v>
      </c>
      <c r="BC315" s="67">
        <f t="shared" si="124"/>
        <v>0</v>
      </c>
      <c r="BD315" s="71">
        <f t="shared" si="125"/>
        <v>0</v>
      </c>
      <c r="BE315" s="19">
        <f t="shared" si="126"/>
        <v>0</v>
      </c>
      <c r="BF315" s="69">
        <f t="shared" si="127"/>
        <v>0</v>
      </c>
      <c r="BH315" s="72">
        <f t="shared" si="128"/>
        <v>36251.25</v>
      </c>
      <c r="BI315" s="73">
        <f t="shared" si="129"/>
        <v>1</v>
      </c>
      <c r="BJ315" s="74">
        <f t="shared" si="130"/>
        <v>3.2228054499816691E-3</v>
      </c>
      <c r="BK315" s="75">
        <f t="shared" si="131"/>
        <v>2.1453187174274717E-4</v>
      </c>
      <c r="BM315" s="76">
        <f t="shared" si="132"/>
        <v>1</v>
      </c>
    </row>
    <row r="316" spans="1:65" ht="12.75" customHeight="1" x14ac:dyDescent="0.2">
      <c r="A316" s="47"/>
      <c r="B316" s="48" t="s">
        <v>635</v>
      </c>
      <c r="C316" s="49">
        <v>108000</v>
      </c>
      <c r="D316" s="50">
        <v>13</v>
      </c>
      <c r="E316" s="49">
        <v>94881.9</v>
      </c>
      <c r="F316" s="50" t="s">
        <v>63</v>
      </c>
      <c r="G316" s="51">
        <v>45139</v>
      </c>
      <c r="H316" s="52" t="s">
        <v>56</v>
      </c>
      <c r="I316" s="51">
        <v>45533</v>
      </c>
      <c r="J316" s="52">
        <f t="shared" si="98"/>
        <v>13.133333333333333</v>
      </c>
      <c r="K316" s="53" t="s">
        <v>636</v>
      </c>
      <c r="L316" s="53">
        <v>110000</v>
      </c>
      <c r="M316" s="54">
        <v>3079.22</v>
      </c>
      <c r="N316" s="77">
        <v>13735.169999999998</v>
      </c>
      <c r="O316" s="54">
        <v>4051.84</v>
      </c>
      <c r="P316" s="54">
        <f t="shared" si="69"/>
        <v>0</v>
      </c>
      <c r="Q316" s="54">
        <f t="shared" si="70"/>
        <v>5748.1299999999919</v>
      </c>
      <c r="R316" s="55">
        <f t="shared" si="71"/>
        <v>6.0581944501532876E-2</v>
      </c>
      <c r="S316" s="55">
        <f t="shared" si="72"/>
        <v>0.93941805549846713</v>
      </c>
      <c r="T316" s="56"/>
      <c r="V316" s="57"/>
      <c r="W316" s="58"/>
      <c r="X316" s="58"/>
      <c r="Y316" s="58"/>
      <c r="Z316" s="58"/>
      <c r="AA316" s="58"/>
      <c r="AB316" s="58"/>
      <c r="AC316" s="58"/>
      <c r="AD316" s="59"/>
      <c r="AE316" s="60"/>
      <c r="AF316" s="61"/>
      <c r="AG316" s="59"/>
      <c r="AH316" s="60"/>
      <c r="AI316" s="62"/>
      <c r="AJ316" s="62"/>
      <c r="AK316" s="63"/>
      <c r="AL316" s="64"/>
      <c r="AM316" s="5">
        <v>2254.4699999999998</v>
      </c>
      <c r="AN316" s="5">
        <f>AM316+Z316</f>
        <v>2254.4699999999998</v>
      </c>
      <c r="AP316" s="65">
        <f t="shared" si="113"/>
        <v>0</v>
      </c>
      <c r="AQ316" s="16">
        <f t="shared" si="114"/>
        <v>1</v>
      </c>
      <c r="AR316" s="16">
        <f t="shared" si="115"/>
        <v>0</v>
      </c>
      <c r="AS316" s="66">
        <f t="shared" si="116"/>
        <v>0</v>
      </c>
      <c r="AT316" s="67">
        <f t="shared" si="117"/>
        <v>0</v>
      </c>
      <c r="AU316" s="68">
        <f t="shared" si="80"/>
        <v>0</v>
      </c>
      <c r="AV316" s="19">
        <f t="shared" si="118"/>
        <v>0</v>
      </c>
      <c r="AW316" s="69">
        <f t="shared" si="119"/>
        <v>0</v>
      </c>
      <c r="AY316" s="65">
        <f t="shared" si="120"/>
        <v>1</v>
      </c>
      <c r="AZ316" s="16">
        <f t="shared" si="121"/>
        <v>1</v>
      </c>
      <c r="BA316" s="16">
        <f t="shared" si="122"/>
        <v>1</v>
      </c>
      <c r="BB316" s="70">
        <f t="shared" si="123"/>
        <v>17787.009999999998</v>
      </c>
      <c r="BC316" s="67">
        <f t="shared" si="124"/>
        <v>94881.9</v>
      </c>
      <c r="BD316" s="71">
        <f t="shared" si="125"/>
        <v>13.133333333333333</v>
      </c>
      <c r="BE316" s="19">
        <f t="shared" si="126"/>
        <v>2.1555264766741255E-2</v>
      </c>
      <c r="BF316" s="69">
        <f t="shared" si="127"/>
        <v>1.3058598538145656E-3</v>
      </c>
      <c r="BH316" s="72">
        <f t="shared" si="128"/>
        <v>94881.9</v>
      </c>
      <c r="BI316" s="73">
        <f t="shared" si="129"/>
        <v>1</v>
      </c>
      <c r="BJ316" s="74">
        <f t="shared" si="130"/>
        <v>8.4351823571494969E-3</v>
      </c>
      <c r="BK316" s="75">
        <f t="shared" si="131"/>
        <v>5.1101974942114009E-4</v>
      </c>
      <c r="BM316" s="76">
        <f t="shared" si="132"/>
        <v>1</v>
      </c>
    </row>
    <row r="317" spans="1:65" ht="12.75" customHeight="1" x14ac:dyDescent="0.2">
      <c r="A317" s="47"/>
      <c r="B317" s="48" t="s">
        <v>637</v>
      </c>
      <c r="C317" s="49">
        <v>47500</v>
      </c>
      <c r="D317" s="50">
        <v>13</v>
      </c>
      <c r="E317" s="49">
        <v>35818.39</v>
      </c>
      <c r="F317" s="50" t="s">
        <v>63</v>
      </c>
      <c r="G317" s="51">
        <v>45309</v>
      </c>
      <c r="H317" s="52" t="s">
        <v>56</v>
      </c>
      <c r="I317" s="51">
        <v>45559</v>
      </c>
      <c r="J317" s="52">
        <f t="shared" si="98"/>
        <v>8.3333333333333339</v>
      </c>
      <c r="K317" s="53" t="s">
        <v>638</v>
      </c>
      <c r="L317" s="53">
        <v>53000</v>
      </c>
      <c r="M317" s="54">
        <v>1100.6600000000001</v>
      </c>
      <c r="N317" s="77">
        <v>6291.0999999999995</v>
      </c>
      <c r="O317" s="54">
        <v>1120.21</v>
      </c>
      <c r="P317" s="54">
        <f t="shared" si="69"/>
        <v>0</v>
      </c>
      <c r="Q317" s="54">
        <f t="shared" si="70"/>
        <v>0</v>
      </c>
      <c r="R317" s="55">
        <f t="shared" si="71"/>
        <v>0</v>
      </c>
      <c r="S317" s="55">
        <f t="shared" si="72"/>
        <v>1</v>
      </c>
      <c r="T317" s="56"/>
      <c r="V317" s="57"/>
      <c r="W317" s="58"/>
      <c r="X317" s="58"/>
      <c r="Y317" s="58"/>
      <c r="Z317" s="58"/>
      <c r="AA317" s="58"/>
      <c r="AB317" s="58"/>
      <c r="AC317" s="58"/>
      <c r="AD317" s="59"/>
      <c r="AE317" s="60"/>
      <c r="AF317" s="61"/>
      <c r="AG317" s="59"/>
      <c r="AH317" s="60"/>
      <c r="AI317" s="62"/>
      <c r="AJ317" s="62"/>
      <c r="AK317" s="63"/>
      <c r="AL317" s="64"/>
      <c r="AP317" s="65">
        <f t="shared" si="113"/>
        <v>0</v>
      </c>
      <c r="AQ317" s="16">
        <f t="shared" si="114"/>
        <v>1</v>
      </c>
      <c r="AR317" s="16">
        <f t="shared" si="115"/>
        <v>0</v>
      </c>
      <c r="AS317" s="66">
        <f t="shared" si="116"/>
        <v>0</v>
      </c>
      <c r="AT317" s="67">
        <f t="shared" si="117"/>
        <v>0</v>
      </c>
      <c r="AU317" s="68">
        <f t="shared" si="80"/>
        <v>0</v>
      </c>
      <c r="AV317" s="19">
        <f t="shared" si="118"/>
        <v>0</v>
      </c>
      <c r="AW317" s="69">
        <f t="shared" si="119"/>
        <v>0</v>
      </c>
      <c r="AY317" s="65">
        <f t="shared" si="120"/>
        <v>1</v>
      </c>
      <c r="AZ317" s="16">
        <f t="shared" si="121"/>
        <v>1</v>
      </c>
      <c r="BA317" s="16">
        <f t="shared" si="122"/>
        <v>1</v>
      </c>
      <c r="BB317" s="70">
        <f t="shared" si="123"/>
        <v>7411.3099999999995</v>
      </c>
      <c r="BC317" s="67">
        <f t="shared" si="124"/>
        <v>35818.39</v>
      </c>
      <c r="BD317" s="71">
        <f t="shared" si="125"/>
        <v>8.3333333333333339</v>
      </c>
      <c r="BE317" s="19">
        <f t="shared" si="126"/>
        <v>8.1372198487635397E-3</v>
      </c>
      <c r="BF317" s="69">
        <f t="shared" si="127"/>
        <v>0</v>
      </c>
      <c r="BH317" s="72">
        <f t="shared" si="128"/>
        <v>35818.39</v>
      </c>
      <c r="BI317" s="73">
        <f t="shared" si="129"/>
        <v>1</v>
      </c>
      <c r="BJ317" s="74">
        <f t="shared" si="130"/>
        <v>3.1843233682029978E-3</v>
      </c>
      <c r="BK317" s="75">
        <f t="shared" si="131"/>
        <v>0</v>
      </c>
      <c r="BM317" s="76">
        <f t="shared" si="132"/>
        <v>1</v>
      </c>
    </row>
    <row r="318" spans="1:65" ht="12.75" customHeight="1" x14ac:dyDescent="0.2">
      <c r="A318" s="47"/>
      <c r="B318" s="48" t="s">
        <v>639</v>
      </c>
      <c r="C318" s="49">
        <v>31632.65</v>
      </c>
      <c r="D318" s="50">
        <v>13</v>
      </c>
      <c r="E318" s="49">
        <v>25250.45</v>
      </c>
      <c r="F318" s="50" t="s">
        <v>55</v>
      </c>
      <c r="G318" s="51">
        <v>45322</v>
      </c>
      <c r="H318" s="52" t="s">
        <v>56</v>
      </c>
      <c r="I318" s="51">
        <v>45411</v>
      </c>
      <c r="J318" s="52">
        <f t="shared" si="98"/>
        <v>2.9666666666666668</v>
      </c>
      <c r="K318" s="53" t="s">
        <v>640</v>
      </c>
      <c r="L318" s="53">
        <v>43800</v>
      </c>
      <c r="M318" s="54">
        <v>796.01</v>
      </c>
      <c r="N318" s="77">
        <v>10545.65</v>
      </c>
      <c r="O318" s="54">
        <v>3604.04</v>
      </c>
      <c r="P318" s="54">
        <f t="shared" si="69"/>
        <v>0</v>
      </c>
      <c r="Q318" s="54">
        <f t="shared" si="70"/>
        <v>0</v>
      </c>
      <c r="R318" s="55">
        <f t="shared" si="71"/>
        <v>0</v>
      </c>
      <c r="S318" s="55">
        <f t="shared" si="72"/>
        <v>1</v>
      </c>
      <c r="T318" s="56"/>
      <c r="V318" s="57">
        <v>492</v>
      </c>
      <c r="W318" s="58"/>
      <c r="X318" s="58">
        <v>34.44</v>
      </c>
      <c r="Y318" s="58"/>
      <c r="Z318" s="58">
        <f>172.61+161.95+209.1</f>
        <v>543.66</v>
      </c>
      <c r="AA318" s="58">
        <v>1510.88</v>
      </c>
      <c r="AB318" s="58">
        <f t="shared" ref="AB318:AB320" si="172">AA318+Z318+Y318+X318+V318+W318</f>
        <v>2580.98</v>
      </c>
      <c r="AC318" s="58">
        <v>25250.45</v>
      </c>
      <c r="AD318" s="59">
        <v>1.7500000000000002E-2</v>
      </c>
      <c r="AE318" s="60">
        <f>((AC318*AD318)/365)*180</f>
        <v>217.91484246575345</v>
      </c>
      <c r="AF318" s="61"/>
      <c r="AG318" s="59"/>
      <c r="AH318" s="60"/>
      <c r="AI318" s="62"/>
      <c r="AJ318" s="62">
        <f t="shared" ref="AJ318:AJ320" si="173">AE318+AH318</f>
        <v>217.91484246575345</v>
      </c>
      <c r="AK318" s="63">
        <f>IF(AJ318&lt;AA318,AJ318,AA318)</f>
        <v>217.91484246575345</v>
      </c>
      <c r="AL318" s="64">
        <f t="shared" ref="AL318:AL320" si="174">W318+X318+Y318+Z318+AK318</f>
        <v>796.01484246575342</v>
      </c>
      <c r="AP318" s="65">
        <f t="shared" si="113"/>
        <v>1</v>
      </c>
      <c r="AQ318" s="16">
        <f t="shared" si="114"/>
        <v>1</v>
      </c>
      <c r="AR318" s="16">
        <f t="shared" si="115"/>
        <v>1</v>
      </c>
      <c r="AS318" s="66">
        <f t="shared" si="116"/>
        <v>14149.689999999999</v>
      </c>
      <c r="AT318" s="67">
        <f t="shared" si="117"/>
        <v>25250.45</v>
      </c>
      <c r="AU318" s="68">
        <f t="shared" si="80"/>
        <v>2.9666666666666668</v>
      </c>
      <c r="AV318" s="19">
        <f t="shared" si="118"/>
        <v>3.6880519011974031E-3</v>
      </c>
      <c r="AW318" s="69">
        <f t="shared" si="119"/>
        <v>0</v>
      </c>
      <c r="AY318" s="65">
        <f t="shared" si="120"/>
        <v>0</v>
      </c>
      <c r="AZ318" s="16">
        <f t="shared" si="121"/>
        <v>1</v>
      </c>
      <c r="BA318" s="16">
        <f t="shared" si="122"/>
        <v>0</v>
      </c>
      <c r="BB318" s="70">
        <f t="shared" si="123"/>
        <v>0</v>
      </c>
      <c r="BC318" s="67">
        <f t="shared" si="124"/>
        <v>0</v>
      </c>
      <c r="BD318" s="71">
        <f t="shared" si="125"/>
        <v>0</v>
      </c>
      <c r="BE318" s="19">
        <f t="shared" si="126"/>
        <v>0</v>
      </c>
      <c r="BF318" s="69">
        <f t="shared" si="127"/>
        <v>0</v>
      </c>
      <c r="BH318" s="72">
        <f t="shared" si="128"/>
        <v>25250.45</v>
      </c>
      <c r="BI318" s="73">
        <f t="shared" si="129"/>
        <v>1</v>
      </c>
      <c r="BJ318" s="74">
        <f t="shared" si="130"/>
        <v>2.2448132926310028E-3</v>
      </c>
      <c r="BK318" s="75">
        <f t="shared" si="131"/>
        <v>0</v>
      </c>
      <c r="BM318" s="76">
        <f t="shared" si="132"/>
        <v>1</v>
      </c>
    </row>
    <row r="319" spans="1:65" ht="12.75" customHeight="1" x14ac:dyDescent="0.2">
      <c r="A319" s="47"/>
      <c r="B319" s="48" t="s">
        <v>641</v>
      </c>
      <c r="C319" s="49">
        <v>26000</v>
      </c>
      <c r="D319" s="50">
        <v>13</v>
      </c>
      <c r="E319" s="49">
        <v>16575.490000000002</v>
      </c>
      <c r="F319" s="50" t="s">
        <v>55</v>
      </c>
      <c r="G319" s="51">
        <v>46377</v>
      </c>
      <c r="H319" s="52" t="s">
        <v>56</v>
      </c>
      <c r="I319" s="51">
        <v>46048</v>
      </c>
      <c r="J319" s="52">
        <v>50</v>
      </c>
      <c r="K319" s="53" t="s">
        <v>642</v>
      </c>
      <c r="L319" s="53">
        <v>41000</v>
      </c>
      <c r="M319" s="54"/>
      <c r="N319" s="54"/>
      <c r="O319" s="54"/>
      <c r="P319" s="54" t="s">
        <v>643</v>
      </c>
      <c r="Q319" s="54" t="s">
        <v>643</v>
      </c>
      <c r="R319" s="55">
        <v>0</v>
      </c>
      <c r="S319" s="55">
        <v>1</v>
      </c>
      <c r="T319" s="56"/>
      <c r="V319" s="57"/>
      <c r="W319" s="58"/>
      <c r="X319" s="58"/>
      <c r="Y319" s="58"/>
      <c r="Z319" s="58"/>
      <c r="AA319" s="58"/>
      <c r="AB319" s="58">
        <f t="shared" si="172"/>
        <v>0</v>
      </c>
      <c r="AC319" s="58"/>
      <c r="AD319" s="59"/>
      <c r="AE319" s="60"/>
      <c r="AF319" s="61"/>
      <c r="AG319" s="59"/>
      <c r="AH319" s="60"/>
      <c r="AI319" s="62"/>
      <c r="AJ319" s="62">
        <f t="shared" si="173"/>
        <v>0</v>
      </c>
      <c r="AK319" s="63"/>
      <c r="AL319" s="64">
        <f t="shared" si="174"/>
        <v>0</v>
      </c>
      <c r="AP319" s="65">
        <f t="shared" si="113"/>
        <v>1</v>
      </c>
      <c r="AQ319" s="16">
        <f t="shared" si="114"/>
        <v>1</v>
      </c>
      <c r="AR319" s="16">
        <f t="shared" si="115"/>
        <v>1</v>
      </c>
      <c r="AS319" s="66">
        <f t="shared" si="116"/>
        <v>0</v>
      </c>
      <c r="AT319" s="67">
        <f t="shared" si="117"/>
        <v>16575.490000000002</v>
      </c>
      <c r="AU319" s="68">
        <f t="shared" si="80"/>
        <v>50</v>
      </c>
      <c r="AV319" s="19">
        <f t="shared" si="118"/>
        <v>2.4209971468935622E-3</v>
      </c>
      <c r="AW319" s="69">
        <f t="shared" si="119"/>
        <v>0</v>
      </c>
      <c r="AY319" s="65">
        <f t="shared" si="120"/>
        <v>0</v>
      </c>
      <c r="AZ319" s="16">
        <f t="shared" si="121"/>
        <v>1</v>
      </c>
      <c r="BA319" s="16">
        <f t="shared" si="122"/>
        <v>0</v>
      </c>
      <c r="BB319" s="70">
        <f t="shared" si="123"/>
        <v>0</v>
      </c>
      <c r="BC319" s="67">
        <f t="shared" si="124"/>
        <v>0</v>
      </c>
      <c r="BD319" s="71">
        <f t="shared" si="125"/>
        <v>0</v>
      </c>
      <c r="BE319" s="19">
        <f t="shared" si="126"/>
        <v>0</v>
      </c>
      <c r="BF319" s="69">
        <f t="shared" si="127"/>
        <v>0</v>
      </c>
      <c r="BH319" s="72">
        <f t="shared" si="128"/>
        <v>16575.490000000002</v>
      </c>
      <c r="BI319" s="73">
        <f t="shared" si="129"/>
        <v>1</v>
      </c>
      <c r="BJ319" s="74">
        <f t="shared" si="130"/>
        <v>1.4735927590942841E-3</v>
      </c>
      <c r="BK319" s="75">
        <f t="shared" si="131"/>
        <v>0</v>
      </c>
      <c r="BM319" s="76">
        <f t="shared" si="132"/>
        <v>1</v>
      </c>
    </row>
    <row r="320" spans="1:65" ht="12.75" customHeight="1" x14ac:dyDescent="0.2">
      <c r="A320" s="47"/>
      <c r="B320" s="48" t="s">
        <v>644</v>
      </c>
      <c r="C320" s="49">
        <v>67500</v>
      </c>
      <c r="D320" s="50">
        <v>13</v>
      </c>
      <c r="E320" s="49">
        <v>62843.87</v>
      </c>
      <c r="F320" s="50" t="s">
        <v>63</v>
      </c>
      <c r="G320" s="51">
        <v>45322</v>
      </c>
      <c r="H320" s="52" t="s">
        <v>542</v>
      </c>
      <c r="I320" s="51" t="s">
        <v>180</v>
      </c>
      <c r="J320" s="52" t="str">
        <f t="shared" ref="J320:J360" si="175">IF(I320="Active",0,(IF(I320="N/A","N/A",(I320-G320)/30)))</f>
        <v>N/A</v>
      </c>
      <c r="K320" s="53" t="s">
        <v>180</v>
      </c>
      <c r="L320" s="53" t="s">
        <v>180</v>
      </c>
      <c r="M320" s="54"/>
      <c r="N320" s="54"/>
      <c r="O320" s="54"/>
      <c r="P320" s="54">
        <f t="shared" ref="P320:P397" si="176">IF(L320="N/A",0,IF(L320-E320&gt;0,0,E320-L320))</f>
        <v>0</v>
      </c>
      <c r="Q320" s="54">
        <f t="shared" ref="Q320:Q397" si="177">IF(L320="N/A",0,IF(L320-E320-M320-N320-O320&gt;0,0,(L320-E320-M320-N320-O320)*-1))</f>
        <v>0</v>
      </c>
      <c r="R320" s="55" t="str">
        <f t="shared" ref="R320:R378" si="178">IF(J320="N/A","N/A",Q320/E320)</f>
        <v>N/A</v>
      </c>
      <c r="S320" s="55" t="str">
        <f t="shared" ref="S320:S378" si="179">IF(R320="N/A","N/A",MAX(0,1-R320))</f>
        <v>N/A</v>
      </c>
      <c r="T320" s="56"/>
      <c r="V320" s="57"/>
      <c r="W320" s="58"/>
      <c r="X320" s="58"/>
      <c r="Y320" s="58"/>
      <c r="Z320" s="58"/>
      <c r="AA320" s="58"/>
      <c r="AB320" s="58">
        <f t="shared" si="172"/>
        <v>0</v>
      </c>
      <c r="AC320" s="58"/>
      <c r="AD320" s="59"/>
      <c r="AE320" s="60"/>
      <c r="AF320" s="61"/>
      <c r="AG320" s="59"/>
      <c r="AH320" s="60"/>
      <c r="AI320" s="62"/>
      <c r="AJ320" s="62">
        <f t="shared" si="173"/>
        <v>0</v>
      </c>
      <c r="AK320" s="63"/>
      <c r="AL320" s="64">
        <f t="shared" si="174"/>
        <v>0</v>
      </c>
      <c r="AP320" s="65">
        <f t="shared" si="113"/>
        <v>0</v>
      </c>
      <c r="AQ320" s="16">
        <f t="shared" si="114"/>
        <v>0</v>
      </c>
      <c r="AR320" s="16">
        <f t="shared" si="115"/>
        <v>0</v>
      </c>
      <c r="AS320" s="66">
        <f t="shared" si="116"/>
        <v>0</v>
      </c>
      <c r="AT320" s="67">
        <f t="shared" si="117"/>
        <v>0</v>
      </c>
      <c r="AU320" s="68">
        <f t="shared" si="80"/>
        <v>0</v>
      </c>
      <c r="AV320" s="19">
        <f t="shared" si="118"/>
        <v>0</v>
      </c>
      <c r="AW320" s="69">
        <f t="shared" si="119"/>
        <v>0</v>
      </c>
      <c r="AY320" s="65">
        <f t="shared" si="120"/>
        <v>1</v>
      </c>
      <c r="AZ320" s="16">
        <f t="shared" si="121"/>
        <v>0</v>
      </c>
      <c r="BA320" s="16">
        <f t="shared" si="122"/>
        <v>0</v>
      </c>
      <c r="BB320" s="70">
        <f t="shared" si="123"/>
        <v>0</v>
      </c>
      <c r="BC320" s="67">
        <f t="shared" si="124"/>
        <v>0</v>
      </c>
      <c r="BD320" s="71">
        <f t="shared" si="125"/>
        <v>0</v>
      </c>
      <c r="BE320" s="19">
        <f t="shared" si="126"/>
        <v>0</v>
      </c>
      <c r="BF320" s="69">
        <f t="shared" si="127"/>
        <v>0</v>
      </c>
      <c r="BH320" s="72">
        <f t="shared" si="128"/>
        <v>0</v>
      </c>
      <c r="BI320" s="73">
        <f t="shared" si="129"/>
        <v>0</v>
      </c>
      <c r="BJ320" s="74">
        <f t="shared" si="130"/>
        <v>0</v>
      </c>
      <c r="BK320" s="75">
        <f t="shared" si="131"/>
        <v>0</v>
      </c>
      <c r="BM320" s="76">
        <f t="shared" si="132"/>
        <v>1</v>
      </c>
    </row>
    <row r="321" spans="1:65" ht="12.75" customHeight="1" x14ac:dyDescent="0.2">
      <c r="A321" s="47"/>
      <c r="B321" s="48" t="s">
        <v>645</v>
      </c>
      <c r="C321" s="49">
        <v>46000</v>
      </c>
      <c r="D321" s="50">
        <v>13</v>
      </c>
      <c r="E321" s="49">
        <v>26977.95</v>
      </c>
      <c r="F321" s="50" t="s">
        <v>63</v>
      </c>
      <c r="G321" s="51">
        <v>45351</v>
      </c>
      <c r="H321" s="52" t="s">
        <v>56</v>
      </c>
      <c r="I321" s="51">
        <v>45533</v>
      </c>
      <c r="J321" s="52">
        <f t="shared" si="175"/>
        <v>6.0666666666666664</v>
      </c>
      <c r="K321" s="53" t="s">
        <v>646</v>
      </c>
      <c r="L321" s="53">
        <v>50000</v>
      </c>
      <c r="M321" s="54">
        <v>321.94</v>
      </c>
      <c r="N321" s="77">
        <v>7936.74</v>
      </c>
      <c r="O321" s="54">
        <v>3568.81</v>
      </c>
      <c r="P321" s="54">
        <f t="shared" si="176"/>
        <v>0</v>
      </c>
      <c r="Q321" s="54">
        <f t="shared" si="177"/>
        <v>0</v>
      </c>
      <c r="R321" s="55">
        <f t="shared" si="178"/>
        <v>0</v>
      </c>
      <c r="S321" s="55">
        <f t="shared" si="179"/>
        <v>1</v>
      </c>
      <c r="T321" s="56"/>
      <c r="V321" s="57"/>
      <c r="W321" s="58"/>
      <c r="X321" s="58"/>
      <c r="Y321" s="58"/>
      <c r="Z321" s="58"/>
      <c r="AA321" s="58"/>
      <c r="AB321" s="58"/>
      <c r="AC321" s="58"/>
      <c r="AD321" s="59"/>
      <c r="AE321" s="60"/>
      <c r="AF321" s="61"/>
      <c r="AG321" s="59"/>
      <c r="AH321" s="60"/>
      <c r="AI321" s="62"/>
      <c r="AJ321" s="62"/>
      <c r="AK321" s="63"/>
      <c r="AL321" s="64"/>
      <c r="AP321" s="65">
        <f t="shared" si="113"/>
        <v>0</v>
      </c>
      <c r="AQ321" s="16">
        <f t="shared" si="114"/>
        <v>1</v>
      </c>
      <c r="AR321" s="16">
        <f t="shared" si="115"/>
        <v>0</v>
      </c>
      <c r="AS321" s="66">
        <f t="shared" si="116"/>
        <v>0</v>
      </c>
      <c r="AT321" s="67">
        <f t="shared" si="117"/>
        <v>0</v>
      </c>
      <c r="AU321" s="68">
        <f t="shared" si="80"/>
        <v>0</v>
      </c>
      <c r="AV321" s="19">
        <f t="shared" si="118"/>
        <v>0</v>
      </c>
      <c r="AW321" s="69">
        <f t="shared" si="119"/>
        <v>0</v>
      </c>
      <c r="AY321" s="65">
        <f t="shared" si="120"/>
        <v>1</v>
      </c>
      <c r="AZ321" s="16">
        <f t="shared" si="121"/>
        <v>1</v>
      </c>
      <c r="BA321" s="16">
        <f t="shared" si="122"/>
        <v>1</v>
      </c>
      <c r="BB321" s="70">
        <f t="shared" si="123"/>
        <v>11505.55</v>
      </c>
      <c r="BC321" s="67">
        <f t="shared" si="124"/>
        <v>26977.95</v>
      </c>
      <c r="BD321" s="71">
        <f t="shared" si="125"/>
        <v>6.0666666666666664</v>
      </c>
      <c r="BE321" s="19">
        <f t="shared" si="126"/>
        <v>6.1288491810757087E-3</v>
      </c>
      <c r="BF321" s="69">
        <f t="shared" si="127"/>
        <v>0</v>
      </c>
      <c r="BH321" s="72">
        <f t="shared" si="128"/>
        <v>26977.95</v>
      </c>
      <c r="BI321" s="73">
        <f t="shared" si="129"/>
        <v>1</v>
      </c>
      <c r="BJ321" s="74">
        <f t="shared" si="130"/>
        <v>2.3983913462110405E-3</v>
      </c>
      <c r="BK321" s="75">
        <f t="shared" si="131"/>
        <v>0</v>
      </c>
      <c r="BM321" s="76">
        <f t="shared" si="132"/>
        <v>1</v>
      </c>
    </row>
    <row r="322" spans="1:65" ht="12.75" customHeight="1" x14ac:dyDescent="0.2">
      <c r="A322" s="47"/>
      <c r="B322" s="48" t="s">
        <v>647</v>
      </c>
      <c r="C322" s="49">
        <v>79650</v>
      </c>
      <c r="D322" s="50">
        <v>13</v>
      </c>
      <c r="E322" s="49">
        <v>72725.48</v>
      </c>
      <c r="F322" s="50" t="s">
        <v>63</v>
      </c>
      <c r="G322" s="51">
        <v>45351</v>
      </c>
      <c r="H322" s="52" t="s">
        <v>56</v>
      </c>
      <c r="I322" s="51">
        <v>45715</v>
      </c>
      <c r="J322" s="52">
        <f t="shared" si="175"/>
        <v>12.133333333333333</v>
      </c>
      <c r="K322" s="53" t="s">
        <v>648</v>
      </c>
      <c r="L322" s="53">
        <v>85000</v>
      </c>
      <c r="M322" s="54">
        <v>1224.8399999999999</v>
      </c>
      <c r="N322" s="54">
        <v>10131.120000000001</v>
      </c>
      <c r="O322" s="54">
        <v>0</v>
      </c>
      <c r="P322" s="54">
        <f t="shared" si="176"/>
        <v>0</v>
      </c>
      <c r="Q322" s="54">
        <f t="shared" si="177"/>
        <v>0</v>
      </c>
      <c r="R322" s="55">
        <f t="shared" si="178"/>
        <v>0</v>
      </c>
      <c r="S322" s="55">
        <f t="shared" si="179"/>
        <v>1</v>
      </c>
      <c r="T322" s="56"/>
      <c r="V322" s="57"/>
      <c r="W322" s="58"/>
      <c r="X322" s="58"/>
      <c r="Y322" s="58"/>
      <c r="Z322" s="58"/>
      <c r="AA322" s="58"/>
      <c r="AB322" s="58">
        <f>AA322+Z322+Y322+X322+V322+W322</f>
        <v>0</v>
      </c>
      <c r="AC322" s="58"/>
      <c r="AD322" s="59"/>
      <c r="AE322" s="60"/>
      <c r="AF322" s="61"/>
      <c r="AG322" s="59"/>
      <c r="AH322" s="60"/>
      <c r="AI322" s="62"/>
      <c r="AJ322" s="62">
        <f>AE322+AH322</f>
        <v>0</v>
      </c>
      <c r="AK322" s="63"/>
      <c r="AL322" s="64">
        <f>W322+X322+Y322+Z322+AK322</f>
        <v>0</v>
      </c>
      <c r="AP322" s="65">
        <f t="shared" si="113"/>
        <v>0</v>
      </c>
      <c r="AQ322" s="16">
        <f t="shared" si="114"/>
        <v>1</v>
      </c>
      <c r="AR322" s="16">
        <f t="shared" si="115"/>
        <v>0</v>
      </c>
      <c r="AS322" s="66">
        <f t="shared" si="116"/>
        <v>0</v>
      </c>
      <c r="AT322" s="67">
        <f t="shared" si="117"/>
        <v>0</v>
      </c>
      <c r="AU322" s="68">
        <f t="shared" si="80"/>
        <v>0</v>
      </c>
      <c r="AV322" s="19">
        <f t="shared" si="118"/>
        <v>0</v>
      </c>
      <c r="AW322" s="69">
        <f t="shared" si="119"/>
        <v>0</v>
      </c>
      <c r="AY322" s="65">
        <f t="shared" si="120"/>
        <v>1</v>
      </c>
      <c r="AZ322" s="16">
        <f t="shared" si="121"/>
        <v>1</v>
      </c>
      <c r="BA322" s="16">
        <f t="shared" si="122"/>
        <v>1</v>
      </c>
      <c r="BB322" s="70">
        <f t="shared" si="123"/>
        <v>10131.120000000001</v>
      </c>
      <c r="BC322" s="67">
        <f t="shared" si="124"/>
        <v>72725.48</v>
      </c>
      <c r="BD322" s="71">
        <f t="shared" si="125"/>
        <v>12.133333333333333</v>
      </c>
      <c r="BE322" s="19">
        <f t="shared" si="126"/>
        <v>1.6521770502997364E-2</v>
      </c>
      <c r="BF322" s="69">
        <f t="shared" si="127"/>
        <v>0</v>
      </c>
      <c r="BH322" s="72">
        <f t="shared" si="128"/>
        <v>72725.48</v>
      </c>
      <c r="BI322" s="73">
        <f t="shared" si="129"/>
        <v>1</v>
      </c>
      <c r="BJ322" s="74">
        <f t="shared" si="130"/>
        <v>6.4654342483785486E-3</v>
      </c>
      <c r="BK322" s="75">
        <f t="shared" si="131"/>
        <v>0</v>
      </c>
      <c r="BM322" s="76">
        <f t="shared" si="132"/>
        <v>1</v>
      </c>
    </row>
    <row r="323" spans="1:65" ht="12.75" customHeight="1" x14ac:dyDescent="0.2">
      <c r="A323" s="47"/>
      <c r="B323" s="48" t="s">
        <v>649</v>
      </c>
      <c r="C323" s="49">
        <v>64900</v>
      </c>
      <c r="D323" s="50">
        <v>13</v>
      </c>
      <c r="E323" s="49">
        <v>58421.74</v>
      </c>
      <c r="F323" s="50" t="s">
        <v>55</v>
      </c>
      <c r="G323" s="51">
        <v>45468</v>
      </c>
      <c r="H323" s="52" t="s">
        <v>56</v>
      </c>
      <c r="I323" s="51">
        <v>45526</v>
      </c>
      <c r="J323" s="52">
        <f t="shared" si="175"/>
        <v>1.9333333333333333</v>
      </c>
      <c r="K323" s="53" t="s">
        <v>650</v>
      </c>
      <c r="L323" s="53">
        <v>72000</v>
      </c>
      <c r="M323" s="54">
        <v>1897.0900000000001</v>
      </c>
      <c r="N323" s="77">
        <v>13294.22</v>
      </c>
      <c r="O323" s="54">
        <v>1849.44</v>
      </c>
      <c r="P323" s="54">
        <f t="shared" si="176"/>
        <v>0</v>
      </c>
      <c r="Q323" s="54">
        <f t="shared" si="177"/>
        <v>3462.4899999999975</v>
      </c>
      <c r="R323" s="55">
        <f t="shared" si="178"/>
        <v>5.9267149523447908E-2</v>
      </c>
      <c r="S323" s="55">
        <f t="shared" si="179"/>
        <v>0.94073285047655208</v>
      </c>
      <c r="T323" s="56"/>
      <c r="V323" s="57"/>
      <c r="W323" s="58"/>
      <c r="X323" s="58"/>
      <c r="Y323" s="58"/>
      <c r="Z323" s="58"/>
      <c r="AA323" s="58"/>
      <c r="AB323" s="58"/>
      <c r="AC323" s="58"/>
      <c r="AD323" s="59"/>
      <c r="AE323" s="60"/>
      <c r="AF323" s="61"/>
      <c r="AG323" s="59"/>
      <c r="AH323" s="60"/>
      <c r="AI323" s="62"/>
      <c r="AJ323" s="62"/>
      <c r="AK323" s="63"/>
      <c r="AL323" s="64"/>
      <c r="AP323" s="65">
        <f t="shared" si="113"/>
        <v>1</v>
      </c>
      <c r="AQ323" s="16">
        <f t="shared" si="114"/>
        <v>1</v>
      </c>
      <c r="AR323" s="16">
        <f t="shared" si="115"/>
        <v>1</v>
      </c>
      <c r="AS323" s="66">
        <f t="shared" si="116"/>
        <v>15143.66</v>
      </c>
      <c r="AT323" s="67">
        <f t="shared" si="117"/>
        <v>58421.74</v>
      </c>
      <c r="AU323" s="68">
        <f t="shared" si="80"/>
        <v>1.9333333333333333</v>
      </c>
      <c r="AV323" s="19">
        <f t="shared" si="118"/>
        <v>8.5330126503987188E-3</v>
      </c>
      <c r="AW323" s="69">
        <f t="shared" si="119"/>
        <v>5.0572733663665343E-4</v>
      </c>
      <c r="AY323" s="65">
        <f t="shared" si="120"/>
        <v>0</v>
      </c>
      <c r="AZ323" s="16">
        <f t="shared" si="121"/>
        <v>1</v>
      </c>
      <c r="BA323" s="16">
        <f t="shared" si="122"/>
        <v>0</v>
      </c>
      <c r="BB323" s="70">
        <f t="shared" si="123"/>
        <v>0</v>
      </c>
      <c r="BC323" s="67">
        <f t="shared" si="124"/>
        <v>0</v>
      </c>
      <c r="BD323" s="71">
        <f t="shared" si="125"/>
        <v>0</v>
      </c>
      <c r="BE323" s="19">
        <f t="shared" si="126"/>
        <v>0</v>
      </c>
      <c r="BF323" s="69">
        <f t="shared" si="127"/>
        <v>0</v>
      </c>
      <c r="BH323" s="72">
        <f t="shared" si="128"/>
        <v>58421.74</v>
      </c>
      <c r="BI323" s="73">
        <f t="shared" si="129"/>
        <v>1</v>
      </c>
      <c r="BJ323" s="74">
        <f t="shared" si="130"/>
        <v>5.1938044086593449E-3</v>
      </c>
      <c r="BK323" s="75">
        <f t="shared" si="131"/>
        <v>3.0782198248355632E-4</v>
      </c>
      <c r="BM323" s="76">
        <f t="shared" si="132"/>
        <v>1</v>
      </c>
    </row>
    <row r="324" spans="1:65" ht="12.75" customHeight="1" x14ac:dyDescent="0.2">
      <c r="A324" s="47"/>
      <c r="B324" s="48" t="s">
        <v>651</v>
      </c>
      <c r="C324" s="49">
        <v>38250</v>
      </c>
      <c r="D324" s="50">
        <v>13</v>
      </c>
      <c r="E324" s="49">
        <v>28988.5</v>
      </c>
      <c r="F324" s="50" t="s">
        <v>55</v>
      </c>
      <c r="G324" s="51">
        <v>45351</v>
      </c>
      <c r="H324" s="52" t="s">
        <v>56</v>
      </c>
      <c r="I324" s="51">
        <v>45663</v>
      </c>
      <c r="J324" s="52">
        <f t="shared" si="175"/>
        <v>10.4</v>
      </c>
      <c r="K324" s="53" t="s">
        <v>652</v>
      </c>
      <c r="L324" s="53">
        <v>42500</v>
      </c>
      <c r="M324" s="54">
        <f>436.09+308.82+180.9+264.15+366.3+38.17+416.25</f>
        <v>2010.68</v>
      </c>
      <c r="N324" s="54">
        <f>62+3576.6+408.4+119.03+164+450+67+25.87+30+284+16+112+87.12+2160.93+267.03+80</f>
        <v>7909.9799999999987</v>
      </c>
      <c r="O324" s="54">
        <v>3380.18</v>
      </c>
      <c r="P324" s="54">
        <f t="shared" si="176"/>
        <v>0</v>
      </c>
      <c r="Q324" s="54">
        <f t="shared" si="177"/>
        <v>0</v>
      </c>
      <c r="R324" s="55">
        <f t="shared" si="178"/>
        <v>0</v>
      </c>
      <c r="S324" s="55">
        <f t="shared" si="179"/>
        <v>1</v>
      </c>
      <c r="T324" s="56"/>
      <c r="V324" s="57"/>
      <c r="W324" s="58"/>
      <c r="X324" s="58"/>
      <c r="Y324" s="58"/>
      <c r="Z324" s="58"/>
      <c r="AA324" s="58"/>
      <c r="AB324" s="58">
        <f t="shared" ref="AB324:AB326" si="180">AA324+Z324+Y324+X324+V324+W324</f>
        <v>0</v>
      </c>
      <c r="AC324" s="58"/>
      <c r="AD324" s="59"/>
      <c r="AE324" s="60"/>
      <c r="AF324" s="61"/>
      <c r="AG324" s="59"/>
      <c r="AH324" s="60"/>
      <c r="AI324" s="62"/>
      <c r="AJ324" s="62">
        <f t="shared" ref="AJ324:AJ326" si="181">AE324+AH324</f>
        <v>0</v>
      </c>
      <c r="AK324" s="63"/>
      <c r="AL324" s="64">
        <f t="shared" ref="AL324:AL326" si="182">W324+X324+Y324+Z324+AK324</f>
        <v>0</v>
      </c>
      <c r="AP324" s="65">
        <f t="shared" si="113"/>
        <v>1</v>
      </c>
      <c r="AQ324" s="16">
        <f t="shared" si="114"/>
        <v>1</v>
      </c>
      <c r="AR324" s="16">
        <f t="shared" si="115"/>
        <v>1</v>
      </c>
      <c r="AS324" s="66">
        <f t="shared" si="116"/>
        <v>11290.159999999998</v>
      </c>
      <c r="AT324" s="67">
        <f t="shared" si="117"/>
        <v>28988.5</v>
      </c>
      <c r="AU324" s="68">
        <f t="shared" si="80"/>
        <v>10.4</v>
      </c>
      <c r="AV324" s="19">
        <f t="shared" si="118"/>
        <v>4.2340272168559729E-3</v>
      </c>
      <c r="AW324" s="69">
        <f t="shared" si="119"/>
        <v>0</v>
      </c>
      <c r="AY324" s="65">
        <f t="shared" si="120"/>
        <v>0</v>
      </c>
      <c r="AZ324" s="16">
        <f t="shared" si="121"/>
        <v>1</v>
      </c>
      <c r="BA324" s="16">
        <f t="shared" si="122"/>
        <v>0</v>
      </c>
      <c r="BB324" s="70">
        <f t="shared" si="123"/>
        <v>0</v>
      </c>
      <c r="BC324" s="67">
        <f t="shared" si="124"/>
        <v>0</v>
      </c>
      <c r="BD324" s="71">
        <f t="shared" si="125"/>
        <v>0</v>
      </c>
      <c r="BE324" s="19">
        <f t="shared" si="126"/>
        <v>0</v>
      </c>
      <c r="BF324" s="69">
        <f t="shared" si="127"/>
        <v>0</v>
      </c>
      <c r="BH324" s="72">
        <f t="shared" si="128"/>
        <v>28988.5</v>
      </c>
      <c r="BI324" s="73">
        <f t="shared" si="129"/>
        <v>1</v>
      </c>
      <c r="BJ324" s="74">
        <f t="shared" si="130"/>
        <v>2.5771330860809936E-3</v>
      </c>
      <c r="BK324" s="75">
        <f t="shared" si="131"/>
        <v>0</v>
      </c>
      <c r="BM324" s="76">
        <f t="shared" si="132"/>
        <v>1</v>
      </c>
    </row>
    <row r="325" spans="1:65" ht="12.75" customHeight="1" x14ac:dyDescent="0.2">
      <c r="A325" s="47"/>
      <c r="B325" s="48" t="s">
        <v>653</v>
      </c>
      <c r="C325" s="49">
        <v>50000</v>
      </c>
      <c r="D325" s="50">
        <v>13</v>
      </c>
      <c r="E325" s="49">
        <v>38841.56</v>
      </c>
      <c r="F325" s="50" t="s">
        <v>55</v>
      </c>
      <c r="G325" s="51">
        <v>45351</v>
      </c>
      <c r="H325" s="52" t="s">
        <v>56</v>
      </c>
      <c r="I325" s="51">
        <v>45687</v>
      </c>
      <c r="J325" s="52">
        <f t="shared" si="175"/>
        <v>11.2</v>
      </c>
      <c r="K325" s="53" t="s">
        <v>654</v>
      </c>
      <c r="L325" s="53">
        <v>50000</v>
      </c>
      <c r="M325" s="54">
        <f>320.25+376.98+409.92+53.5+564.25</f>
        <v>1724.9</v>
      </c>
      <c r="N325" s="54">
        <f>2978.12+125+878.73+2445.08+93.15+531.24+450+125+200+30+326+16+112+194.31+2550+101.43+85</f>
        <v>11241.06</v>
      </c>
      <c r="O325" s="54">
        <v>220</v>
      </c>
      <c r="P325" s="54">
        <f t="shared" si="176"/>
        <v>0</v>
      </c>
      <c r="Q325" s="54">
        <f t="shared" si="177"/>
        <v>2027.5199999999968</v>
      </c>
      <c r="R325" s="55">
        <f t="shared" si="178"/>
        <v>5.2199757167322759E-2</v>
      </c>
      <c r="S325" s="55">
        <f t="shared" si="179"/>
        <v>0.94780024283267728</v>
      </c>
      <c r="T325" s="56"/>
      <c r="V325" s="57">
        <v>564.25</v>
      </c>
      <c r="W325" s="58"/>
      <c r="X325" s="58">
        <v>53.5</v>
      </c>
      <c r="Y325" s="58"/>
      <c r="Z325" s="58">
        <f>320.25+376.98+409.92</f>
        <v>1107.1500000000001</v>
      </c>
      <c r="AA325" s="58">
        <v>3425.77</v>
      </c>
      <c r="AB325" s="58">
        <f t="shared" si="180"/>
        <v>5150.67</v>
      </c>
      <c r="AC325" s="58">
        <v>38841.56</v>
      </c>
      <c r="AD325" s="59">
        <v>1.7500000000000002E-2</v>
      </c>
      <c r="AE325" s="60">
        <f t="shared" ref="AE325:AE326" si="183">((AC325*AD325)/365)*180</f>
        <v>335.20798356164386</v>
      </c>
      <c r="AF325" s="61"/>
      <c r="AG325" s="59"/>
      <c r="AH325" s="60"/>
      <c r="AI325" s="62"/>
      <c r="AJ325" s="62">
        <f t="shared" si="181"/>
        <v>335.20798356164386</v>
      </c>
      <c r="AK325" s="63"/>
      <c r="AL325" s="64">
        <f t="shared" si="182"/>
        <v>1160.6500000000001</v>
      </c>
      <c r="AP325" s="65">
        <f t="shared" si="113"/>
        <v>1</v>
      </c>
      <c r="AQ325" s="16">
        <f t="shared" si="114"/>
        <v>1</v>
      </c>
      <c r="AR325" s="16">
        <f t="shared" si="115"/>
        <v>1</v>
      </c>
      <c r="AS325" s="66">
        <f t="shared" si="116"/>
        <v>11461.06</v>
      </c>
      <c r="AT325" s="67">
        <f t="shared" si="117"/>
        <v>38841.56</v>
      </c>
      <c r="AU325" s="68">
        <f t="shared" si="80"/>
        <v>11.2</v>
      </c>
      <c r="AV325" s="19">
        <f t="shared" si="118"/>
        <v>5.6731539122460385E-3</v>
      </c>
      <c r="AW325" s="69">
        <f t="shared" si="119"/>
        <v>2.9613725659209032E-4</v>
      </c>
      <c r="AY325" s="65">
        <f t="shared" si="120"/>
        <v>0</v>
      </c>
      <c r="AZ325" s="16">
        <f t="shared" si="121"/>
        <v>1</v>
      </c>
      <c r="BA325" s="16">
        <f t="shared" si="122"/>
        <v>0</v>
      </c>
      <c r="BB325" s="70">
        <f t="shared" si="123"/>
        <v>0</v>
      </c>
      <c r="BC325" s="67">
        <f t="shared" si="124"/>
        <v>0</v>
      </c>
      <c r="BD325" s="71">
        <f t="shared" si="125"/>
        <v>0</v>
      </c>
      <c r="BE325" s="19">
        <f t="shared" si="126"/>
        <v>0</v>
      </c>
      <c r="BF325" s="69">
        <f t="shared" si="127"/>
        <v>0</v>
      </c>
      <c r="BH325" s="72">
        <f t="shared" si="128"/>
        <v>38841.56</v>
      </c>
      <c r="BI325" s="73">
        <f t="shared" si="129"/>
        <v>1</v>
      </c>
      <c r="BJ325" s="74">
        <f t="shared" si="130"/>
        <v>3.4530889625541189E-3</v>
      </c>
      <c r="BK325" s="75">
        <f t="shared" si="131"/>
        <v>1.8025040532248748E-4</v>
      </c>
      <c r="BM325" s="76">
        <f t="shared" si="132"/>
        <v>1</v>
      </c>
    </row>
    <row r="326" spans="1:65" ht="12.75" customHeight="1" x14ac:dyDescent="0.2">
      <c r="A326" s="47"/>
      <c r="B326" s="48" t="s">
        <v>655</v>
      </c>
      <c r="C326" s="49">
        <v>47500</v>
      </c>
      <c r="D326" s="50">
        <v>13</v>
      </c>
      <c r="E326" s="49">
        <f>23298.38+23563.01</f>
        <v>46861.39</v>
      </c>
      <c r="F326" s="50" t="s">
        <v>55</v>
      </c>
      <c r="G326" s="51">
        <v>45370</v>
      </c>
      <c r="H326" s="52" t="s">
        <v>56</v>
      </c>
      <c r="I326" s="51">
        <v>45378</v>
      </c>
      <c r="J326" s="52">
        <f t="shared" si="175"/>
        <v>0.26666666666666666</v>
      </c>
      <c r="K326" s="53" t="s">
        <v>656</v>
      </c>
      <c r="L326" s="53">
        <v>59500</v>
      </c>
      <c r="M326" s="54">
        <v>1741.8622273972605</v>
      </c>
      <c r="N326" s="77">
        <v>8178.8600000000006</v>
      </c>
      <c r="O326" s="54">
        <v>180</v>
      </c>
      <c r="P326" s="54">
        <f t="shared" si="176"/>
        <v>0</v>
      </c>
      <c r="Q326" s="54">
        <f t="shared" si="177"/>
        <v>0</v>
      </c>
      <c r="R326" s="55">
        <f t="shared" si="178"/>
        <v>0</v>
      </c>
      <c r="S326" s="55">
        <f t="shared" si="179"/>
        <v>1</v>
      </c>
      <c r="T326" s="56"/>
      <c r="V326" s="57">
        <v>111</v>
      </c>
      <c r="W326" s="58"/>
      <c r="X326" s="58">
        <v>7.77</v>
      </c>
      <c r="Y326" s="58"/>
      <c r="Z326" s="58">
        <f>53.28+113.52+65.16</f>
        <v>231.96</v>
      </c>
      <c r="AA326" s="58">
        <v>2162.1799999999998</v>
      </c>
      <c r="AB326" s="58">
        <f t="shared" si="180"/>
        <v>2512.91</v>
      </c>
      <c r="AC326" s="58">
        <f>23298.38</f>
        <v>23298.38</v>
      </c>
      <c r="AD326" s="59">
        <v>6.5000000000000002E-2</v>
      </c>
      <c r="AE326" s="60">
        <f t="shared" si="183"/>
        <v>746.82478356164393</v>
      </c>
      <c r="AF326" s="61">
        <v>23563.01</v>
      </c>
      <c r="AG326" s="59">
        <v>6.5000000000000002E-2</v>
      </c>
      <c r="AH326" s="60">
        <f>((AF326*AG326)/365)*180</f>
        <v>755.30744383561648</v>
      </c>
      <c r="AI326" s="62">
        <f>AC326+AF326</f>
        <v>46861.39</v>
      </c>
      <c r="AJ326" s="62">
        <f t="shared" si="181"/>
        <v>1502.1322273972605</v>
      </c>
      <c r="AK326" s="63">
        <f>IF(AJ326&lt;AA326,AJ326,AA326)</f>
        <v>1502.1322273972605</v>
      </c>
      <c r="AL326" s="64">
        <f t="shared" si="182"/>
        <v>1741.8622273972605</v>
      </c>
      <c r="AP326" s="65">
        <f t="shared" si="113"/>
        <v>1</v>
      </c>
      <c r="AQ326" s="16">
        <f t="shared" si="114"/>
        <v>1</v>
      </c>
      <c r="AR326" s="16">
        <f t="shared" si="115"/>
        <v>1</v>
      </c>
      <c r="AS326" s="66">
        <f t="shared" si="116"/>
        <v>8358.86</v>
      </c>
      <c r="AT326" s="67">
        <f t="shared" si="117"/>
        <v>46861.39</v>
      </c>
      <c r="AU326" s="68">
        <f t="shared" si="80"/>
        <v>0.26666666666666666</v>
      </c>
      <c r="AV326" s="19">
        <f t="shared" si="118"/>
        <v>6.8445211266434051E-3</v>
      </c>
      <c r="AW326" s="69">
        <f t="shared" si="119"/>
        <v>0</v>
      </c>
      <c r="AY326" s="65">
        <f t="shared" si="120"/>
        <v>0</v>
      </c>
      <c r="AZ326" s="16">
        <f t="shared" si="121"/>
        <v>1</v>
      </c>
      <c r="BA326" s="16">
        <f t="shared" si="122"/>
        <v>0</v>
      </c>
      <c r="BB326" s="70">
        <f t="shared" si="123"/>
        <v>0</v>
      </c>
      <c r="BC326" s="67">
        <f t="shared" si="124"/>
        <v>0</v>
      </c>
      <c r="BD326" s="71">
        <f t="shared" si="125"/>
        <v>0</v>
      </c>
      <c r="BE326" s="19">
        <f t="shared" si="126"/>
        <v>0</v>
      </c>
      <c r="BF326" s="69">
        <f t="shared" si="127"/>
        <v>0</v>
      </c>
      <c r="BH326" s="72">
        <f t="shared" si="128"/>
        <v>46861.39</v>
      </c>
      <c r="BI326" s="73">
        <f t="shared" si="129"/>
        <v>1</v>
      </c>
      <c r="BJ326" s="74">
        <f t="shared" si="130"/>
        <v>4.1660671862547224E-3</v>
      </c>
      <c r="BK326" s="75">
        <f t="shared" si="131"/>
        <v>0</v>
      </c>
      <c r="BM326" s="76">
        <f t="shared" si="132"/>
        <v>1</v>
      </c>
    </row>
    <row r="327" spans="1:65" ht="12.75" customHeight="1" x14ac:dyDescent="0.2">
      <c r="A327" s="47"/>
      <c r="B327" s="48" t="s">
        <v>657</v>
      </c>
      <c r="C327" s="49">
        <v>50000</v>
      </c>
      <c r="D327" s="50">
        <v>13</v>
      </c>
      <c r="E327" s="49">
        <v>34841.43</v>
      </c>
      <c r="F327" s="50" t="s">
        <v>63</v>
      </c>
      <c r="G327" s="51">
        <v>45177</v>
      </c>
      <c r="H327" s="52" t="s">
        <v>56</v>
      </c>
      <c r="I327" s="51">
        <v>45595</v>
      </c>
      <c r="J327" s="52">
        <f t="shared" si="175"/>
        <v>13.933333333333334</v>
      </c>
      <c r="K327" s="53" t="s">
        <v>658</v>
      </c>
      <c r="L327" s="53">
        <v>45000</v>
      </c>
      <c r="M327" s="54">
        <v>437.42</v>
      </c>
      <c r="N327" s="54">
        <v>9081.7200000000012</v>
      </c>
      <c r="O327" s="54">
        <v>2669.8</v>
      </c>
      <c r="P327" s="54">
        <f t="shared" si="176"/>
        <v>0</v>
      </c>
      <c r="Q327" s="54">
        <f t="shared" si="177"/>
        <v>2030.3700000000017</v>
      </c>
      <c r="R327" s="55">
        <f t="shared" si="178"/>
        <v>5.8274588614761265E-2</v>
      </c>
      <c r="S327" s="55">
        <f t="shared" si="179"/>
        <v>0.94172541138523869</v>
      </c>
      <c r="T327" s="56"/>
      <c r="V327" s="57"/>
      <c r="W327" s="58"/>
      <c r="X327" s="58"/>
      <c r="Y327" s="58"/>
      <c r="Z327" s="58"/>
      <c r="AA327" s="58"/>
      <c r="AB327" s="58"/>
      <c r="AC327" s="58"/>
      <c r="AD327" s="59"/>
      <c r="AE327" s="60"/>
      <c r="AF327" s="61"/>
      <c r="AG327" s="59"/>
      <c r="AH327" s="60"/>
      <c r="AI327" s="62"/>
      <c r="AJ327" s="62"/>
      <c r="AK327" s="63"/>
      <c r="AL327" s="64"/>
      <c r="AP327" s="65">
        <f t="shared" si="113"/>
        <v>0</v>
      </c>
      <c r="AQ327" s="16">
        <f t="shared" si="114"/>
        <v>1</v>
      </c>
      <c r="AR327" s="16">
        <f t="shared" si="115"/>
        <v>0</v>
      </c>
      <c r="AS327" s="66">
        <f t="shared" si="116"/>
        <v>0</v>
      </c>
      <c r="AT327" s="67">
        <f t="shared" si="117"/>
        <v>0</v>
      </c>
      <c r="AU327" s="68">
        <f t="shared" si="80"/>
        <v>0</v>
      </c>
      <c r="AV327" s="19">
        <f t="shared" si="118"/>
        <v>0</v>
      </c>
      <c r="AW327" s="69">
        <f t="shared" si="119"/>
        <v>0</v>
      </c>
      <c r="AY327" s="65">
        <f t="shared" si="120"/>
        <v>1</v>
      </c>
      <c r="AZ327" s="16">
        <f t="shared" si="121"/>
        <v>1</v>
      </c>
      <c r="BA327" s="16">
        <f t="shared" si="122"/>
        <v>1</v>
      </c>
      <c r="BB327" s="70">
        <f t="shared" si="123"/>
        <v>11751.52</v>
      </c>
      <c r="BC327" s="67">
        <f t="shared" si="124"/>
        <v>34841.43</v>
      </c>
      <c r="BD327" s="71">
        <f t="shared" si="125"/>
        <v>13.933333333333334</v>
      </c>
      <c r="BE327" s="19">
        <f t="shared" si="126"/>
        <v>7.915274130280715E-3</v>
      </c>
      <c r="BF327" s="69">
        <f t="shared" si="127"/>
        <v>4.612593437151709E-4</v>
      </c>
      <c r="BH327" s="72">
        <f t="shared" si="128"/>
        <v>34841.43</v>
      </c>
      <c r="BI327" s="73">
        <f t="shared" si="129"/>
        <v>1</v>
      </c>
      <c r="BJ327" s="74">
        <f t="shared" si="130"/>
        <v>3.0974697559161364E-3</v>
      </c>
      <c r="BK327" s="75">
        <f t="shared" si="131"/>
        <v>1.8050377577267783E-4</v>
      </c>
      <c r="BM327" s="76">
        <f t="shared" si="132"/>
        <v>1</v>
      </c>
    </row>
    <row r="328" spans="1:65" ht="12.75" customHeight="1" x14ac:dyDescent="0.2">
      <c r="A328" s="47"/>
      <c r="B328" s="48" t="s">
        <v>659</v>
      </c>
      <c r="C328" s="49">
        <v>38664.5</v>
      </c>
      <c r="D328" s="50">
        <v>13</v>
      </c>
      <c r="E328" s="49">
        <v>31417.47</v>
      </c>
      <c r="F328" s="50" t="s">
        <v>55</v>
      </c>
      <c r="G328" s="51">
        <v>45322</v>
      </c>
      <c r="H328" s="52" t="s">
        <v>56</v>
      </c>
      <c r="I328" s="51">
        <v>45411</v>
      </c>
      <c r="J328" s="52">
        <f t="shared" si="175"/>
        <v>2.9666666666666668</v>
      </c>
      <c r="K328" s="53" t="s">
        <v>660</v>
      </c>
      <c r="L328" s="53">
        <v>45000</v>
      </c>
      <c r="M328" s="54">
        <v>531.77</v>
      </c>
      <c r="N328" s="77">
        <v>6947.0599999999995</v>
      </c>
      <c r="O328" s="54">
        <v>2325.5100000000002</v>
      </c>
      <c r="P328" s="54">
        <f t="shared" si="176"/>
        <v>0</v>
      </c>
      <c r="Q328" s="54">
        <f t="shared" si="177"/>
        <v>0</v>
      </c>
      <c r="R328" s="55">
        <f t="shared" si="178"/>
        <v>0</v>
      </c>
      <c r="S328" s="55">
        <f t="shared" si="179"/>
        <v>1</v>
      </c>
      <c r="T328" s="56"/>
      <c r="V328" s="57">
        <v>297.33</v>
      </c>
      <c r="W328" s="58"/>
      <c r="X328" s="58">
        <v>20.81</v>
      </c>
      <c r="Y328" s="58"/>
      <c r="Z328" s="58">
        <f>133.98+159.06+179.19</f>
        <v>472.22999999999996</v>
      </c>
      <c r="AA328" s="58">
        <v>244.74</v>
      </c>
      <c r="AB328" s="58">
        <f>AA328+Z328+Y328+X328+V328+W328</f>
        <v>1035.1099999999999</v>
      </c>
      <c r="AC328" s="58">
        <v>31417.47</v>
      </c>
      <c r="AD328" s="59">
        <v>2.5000000000000001E-3</v>
      </c>
      <c r="AE328" s="60">
        <f>((AC328*AD328)/365)*180</f>
        <v>38.733867123287673</v>
      </c>
      <c r="AF328" s="61"/>
      <c r="AG328" s="59"/>
      <c r="AH328" s="60"/>
      <c r="AI328" s="62"/>
      <c r="AJ328" s="62">
        <f>AE328+AH328</f>
        <v>38.733867123287673</v>
      </c>
      <c r="AK328" s="63">
        <f>IF(AJ328&lt;AA328,AJ328,AA328)</f>
        <v>38.733867123287673</v>
      </c>
      <c r="AL328" s="64">
        <f>W328+X328+Y328+Z328+AK328</f>
        <v>531.77386712328769</v>
      </c>
      <c r="AP328" s="65">
        <f t="shared" si="113"/>
        <v>1</v>
      </c>
      <c r="AQ328" s="16">
        <f t="shared" si="114"/>
        <v>1</v>
      </c>
      <c r="AR328" s="16">
        <f t="shared" si="115"/>
        <v>1</v>
      </c>
      <c r="AS328" s="66">
        <f t="shared" si="116"/>
        <v>9272.57</v>
      </c>
      <c r="AT328" s="67">
        <f t="shared" si="117"/>
        <v>31417.47</v>
      </c>
      <c r="AU328" s="68">
        <f t="shared" si="80"/>
        <v>2.9666666666666668</v>
      </c>
      <c r="AV328" s="19">
        <f t="shared" si="118"/>
        <v>4.5887998021545105E-3</v>
      </c>
      <c r="AW328" s="69">
        <f t="shared" si="119"/>
        <v>0</v>
      </c>
      <c r="AY328" s="65">
        <f t="shared" si="120"/>
        <v>0</v>
      </c>
      <c r="AZ328" s="16">
        <f t="shared" si="121"/>
        <v>1</v>
      </c>
      <c r="BA328" s="16">
        <f t="shared" si="122"/>
        <v>0</v>
      </c>
      <c r="BB328" s="70">
        <f t="shared" si="123"/>
        <v>0</v>
      </c>
      <c r="BC328" s="67">
        <f t="shared" si="124"/>
        <v>0</v>
      </c>
      <c r="BD328" s="71">
        <f t="shared" si="125"/>
        <v>0</v>
      </c>
      <c r="BE328" s="19">
        <f t="shared" si="126"/>
        <v>0</v>
      </c>
      <c r="BF328" s="69">
        <f t="shared" si="127"/>
        <v>0</v>
      </c>
      <c r="BH328" s="72">
        <f t="shared" si="128"/>
        <v>31417.47</v>
      </c>
      <c r="BI328" s="73">
        <f t="shared" si="129"/>
        <v>1</v>
      </c>
      <c r="BJ328" s="74">
        <f t="shared" si="130"/>
        <v>2.793073164115323E-3</v>
      </c>
      <c r="BK328" s="75">
        <f t="shared" si="131"/>
        <v>0</v>
      </c>
      <c r="BM328" s="76">
        <f t="shared" si="132"/>
        <v>1</v>
      </c>
    </row>
    <row r="329" spans="1:65" ht="12.75" customHeight="1" x14ac:dyDescent="0.2">
      <c r="A329" s="47"/>
      <c r="B329" s="48" t="s">
        <v>661</v>
      </c>
      <c r="C329" s="49">
        <v>62000</v>
      </c>
      <c r="D329" s="50">
        <v>13</v>
      </c>
      <c r="E329" s="49">
        <v>51881.78</v>
      </c>
      <c r="F329" s="50" t="s">
        <v>55</v>
      </c>
      <c r="G329" s="51">
        <v>45289</v>
      </c>
      <c r="H329" s="52" t="s">
        <v>56</v>
      </c>
      <c r="I329" s="51">
        <v>45442</v>
      </c>
      <c r="J329" s="52">
        <f t="shared" si="175"/>
        <v>5.0999999999999996</v>
      </c>
      <c r="K329" s="53" t="s">
        <v>662</v>
      </c>
      <c r="L329" s="53">
        <v>62000</v>
      </c>
      <c r="M329" s="54">
        <v>895.96</v>
      </c>
      <c r="N329" s="77">
        <v>7878.97</v>
      </c>
      <c r="O329" s="54">
        <v>4064.85</v>
      </c>
      <c r="P329" s="54">
        <f t="shared" si="176"/>
        <v>0</v>
      </c>
      <c r="Q329" s="54">
        <f t="shared" si="177"/>
        <v>2721.5599999999981</v>
      </c>
      <c r="R329" s="55">
        <f t="shared" si="178"/>
        <v>5.2456951168599039E-2</v>
      </c>
      <c r="S329" s="55">
        <f t="shared" si="179"/>
        <v>0.94754304883140095</v>
      </c>
      <c r="T329" s="56"/>
      <c r="V329" s="57"/>
      <c r="W329" s="58"/>
      <c r="X329" s="58"/>
      <c r="Y329" s="58"/>
      <c r="Z329" s="58"/>
      <c r="AA329" s="58"/>
      <c r="AB329" s="58"/>
      <c r="AC329" s="58"/>
      <c r="AD329" s="59"/>
      <c r="AE329" s="60"/>
      <c r="AF329" s="61"/>
      <c r="AG329" s="59"/>
      <c r="AH329" s="60"/>
      <c r="AI329" s="62"/>
      <c r="AJ329" s="62"/>
      <c r="AK329" s="63"/>
      <c r="AL329" s="64"/>
      <c r="AP329" s="65">
        <f t="shared" si="113"/>
        <v>1</v>
      </c>
      <c r="AQ329" s="16">
        <f t="shared" si="114"/>
        <v>1</v>
      </c>
      <c r="AR329" s="16">
        <f t="shared" si="115"/>
        <v>1</v>
      </c>
      <c r="AS329" s="66">
        <f t="shared" si="116"/>
        <v>11943.82</v>
      </c>
      <c r="AT329" s="67">
        <f t="shared" si="117"/>
        <v>51881.78</v>
      </c>
      <c r="AU329" s="68">
        <f t="shared" si="80"/>
        <v>5.0999999999999996</v>
      </c>
      <c r="AV329" s="19">
        <f t="shared" si="118"/>
        <v>7.5777935587882745E-3</v>
      </c>
      <c r="AW329" s="69">
        <f t="shared" si="119"/>
        <v>3.9750794667908084E-4</v>
      </c>
      <c r="AY329" s="65">
        <f t="shared" si="120"/>
        <v>0</v>
      </c>
      <c r="AZ329" s="16">
        <f t="shared" si="121"/>
        <v>1</v>
      </c>
      <c r="BA329" s="16">
        <f t="shared" si="122"/>
        <v>0</v>
      </c>
      <c r="BB329" s="70">
        <f t="shared" si="123"/>
        <v>0</v>
      </c>
      <c r="BC329" s="67">
        <f t="shared" si="124"/>
        <v>0</v>
      </c>
      <c r="BD329" s="71">
        <f t="shared" si="125"/>
        <v>0</v>
      </c>
      <c r="BE329" s="19">
        <f t="shared" si="126"/>
        <v>0</v>
      </c>
      <c r="BF329" s="69">
        <f t="shared" si="127"/>
        <v>0</v>
      </c>
      <c r="BH329" s="72">
        <f t="shared" si="128"/>
        <v>51881.78</v>
      </c>
      <c r="BI329" s="73">
        <f t="shared" si="129"/>
        <v>1</v>
      </c>
      <c r="BJ329" s="74">
        <f t="shared" si="130"/>
        <v>4.6123894579842067E-3</v>
      </c>
      <c r="BK329" s="75">
        <f t="shared" si="131"/>
        <v>2.4195188856803853E-4</v>
      </c>
      <c r="BM329" s="76">
        <f t="shared" si="132"/>
        <v>1</v>
      </c>
    </row>
    <row r="330" spans="1:65" ht="12.75" customHeight="1" x14ac:dyDescent="0.2">
      <c r="A330" s="47"/>
      <c r="B330" s="48" t="s">
        <v>663</v>
      </c>
      <c r="C330" s="49">
        <v>49500</v>
      </c>
      <c r="D330" s="50">
        <v>13</v>
      </c>
      <c r="E330" s="49">
        <v>44102.87</v>
      </c>
      <c r="F330" s="50" t="s">
        <v>55</v>
      </c>
      <c r="G330" s="51">
        <v>45021</v>
      </c>
      <c r="H330" s="52" t="s">
        <v>56</v>
      </c>
      <c r="I330" s="51">
        <v>45411</v>
      </c>
      <c r="J330" s="52">
        <f t="shared" si="175"/>
        <v>13</v>
      </c>
      <c r="K330" s="53" t="s">
        <v>664</v>
      </c>
      <c r="L330" s="53">
        <v>55000</v>
      </c>
      <c r="M330" s="54">
        <v>1637.62</v>
      </c>
      <c r="N330" s="54">
        <v>8130.73</v>
      </c>
      <c r="O330" s="54">
        <v>2234.36</v>
      </c>
      <c r="P330" s="54">
        <f t="shared" si="176"/>
        <v>0</v>
      </c>
      <c r="Q330" s="54">
        <f t="shared" si="177"/>
        <v>1105.5800000000013</v>
      </c>
      <c r="R330" s="55">
        <f t="shared" si="178"/>
        <v>2.5068209846660802E-2</v>
      </c>
      <c r="S330" s="55">
        <f t="shared" si="179"/>
        <v>0.9749317901533392</v>
      </c>
      <c r="T330" s="56"/>
      <c r="V330" s="57">
        <f>378.82</f>
        <v>378.82</v>
      </c>
      <c r="W330" s="58"/>
      <c r="X330" s="58">
        <v>26.52</v>
      </c>
      <c r="Y330" s="58">
        <v>194.24</v>
      </c>
      <c r="Z330" s="58">
        <f>208+327.2+246.4+49.6+53.6</f>
        <v>884.80000000000007</v>
      </c>
      <c r="AA330" s="58">
        <f>2278.42+1541.27</f>
        <v>3819.69</v>
      </c>
      <c r="AB330" s="58">
        <f>AA330+Z330+Y330+X330+V330+W330</f>
        <v>5304.07</v>
      </c>
      <c r="AC330" s="58">
        <v>38253.17</v>
      </c>
      <c r="AD330" s="59">
        <v>1.7500000000000002E-2</v>
      </c>
      <c r="AE330" s="60">
        <f>((AC330*AD330)/365)*180</f>
        <v>330.13009726027394</v>
      </c>
      <c r="AF330" s="61">
        <v>5849.7</v>
      </c>
      <c r="AG330" s="59">
        <v>7.0000000000000007E-2</v>
      </c>
      <c r="AH330" s="60">
        <f>((AF330*AG330)/365)*180</f>
        <v>201.93484931506853</v>
      </c>
      <c r="AI330" s="62">
        <f>AC330+AF330</f>
        <v>44102.869999999995</v>
      </c>
      <c r="AJ330" s="62">
        <f t="shared" ref="AJ330:AJ331" si="184">AE330+AH330</f>
        <v>532.06494657534245</v>
      </c>
      <c r="AK330" s="63">
        <f>IF(AJ330&lt;AA330,AJ330,AA330)</f>
        <v>532.06494657534245</v>
      </c>
      <c r="AL330" s="64">
        <f t="shared" ref="AL330:AL331" si="185">W330+X330+Y330+Z330+AK330</f>
        <v>1637.6249465753426</v>
      </c>
      <c r="AP330" s="65">
        <f t="shared" si="113"/>
        <v>1</v>
      </c>
      <c r="AQ330" s="16">
        <f t="shared" si="114"/>
        <v>1</v>
      </c>
      <c r="AR330" s="16">
        <f t="shared" si="115"/>
        <v>1</v>
      </c>
      <c r="AS330" s="66">
        <f t="shared" si="116"/>
        <v>10365.09</v>
      </c>
      <c r="AT330" s="67">
        <f t="shared" si="117"/>
        <v>44102.87</v>
      </c>
      <c r="AU330" s="68">
        <f t="shared" si="80"/>
        <v>13</v>
      </c>
      <c r="AV330" s="19">
        <f t="shared" si="118"/>
        <v>6.4416148445576972E-3</v>
      </c>
      <c r="AW330" s="69">
        <f t="shared" si="119"/>
        <v>1.6147975267473766E-4</v>
      </c>
      <c r="AY330" s="65">
        <f t="shared" si="120"/>
        <v>0</v>
      </c>
      <c r="AZ330" s="16">
        <f t="shared" si="121"/>
        <v>1</v>
      </c>
      <c r="BA330" s="16">
        <f t="shared" si="122"/>
        <v>0</v>
      </c>
      <c r="BB330" s="70">
        <f t="shared" si="123"/>
        <v>0</v>
      </c>
      <c r="BC330" s="67">
        <f t="shared" si="124"/>
        <v>0</v>
      </c>
      <c r="BD330" s="71">
        <f t="shared" si="125"/>
        <v>0</v>
      </c>
      <c r="BE330" s="19">
        <f t="shared" si="126"/>
        <v>0</v>
      </c>
      <c r="BF330" s="69">
        <f t="shared" si="127"/>
        <v>0</v>
      </c>
      <c r="BH330" s="72">
        <f t="shared" si="128"/>
        <v>44102.87</v>
      </c>
      <c r="BI330" s="73">
        <f t="shared" si="129"/>
        <v>1</v>
      </c>
      <c r="BJ330" s="74">
        <f t="shared" si="130"/>
        <v>3.9208294830063257E-3</v>
      </c>
      <c r="BK330" s="75">
        <f t="shared" si="131"/>
        <v>9.8288176252977157E-5</v>
      </c>
      <c r="BM330" s="76">
        <f t="shared" si="132"/>
        <v>1</v>
      </c>
    </row>
    <row r="331" spans="1:65" ht="12.75" customHeight="1" x14ac:dyDescent="0.2">
      <c r="A331" s="47"/>
      <c r="B331" s="48" t="s">
        <v>665</v>
      </c>
      <c r="C331" s="49">
        <v>29700</v>
      </c>
      <c r="D331" s="50">
        <v>13</v>
      </c>
      <c r="E331" s="49">
        <v>27103.95</v>
      </c>
      <c r="F331" s="50" t="s">
        <v>55</v>
      </c>
      <c r="G331" s="51">
        <v>45306</v>
      </c>
      <c r="H331" s="52" t="s">
        <v>56</v>
      </c>
      <c r="I331" s="51">
        <v>45836</v>
      </c>
      <c r="J331" s="52">
        <f t="shared" si="175"/>
        <v>17.666666666666668</v>
      </c>
      <c r="K331" s="53" t="s">
        <v>666</v>
      </c>
      <c r="L331" s="53">
        <v>54500</v>
      </c>
      <c r="M331" s="54">
        <v>1370.1</v>
      </c>
      <c r="N331" s="54">
        <v>8628.56</v>
      </c>
      <c r="O331" s="54">
        <v>3102.48</v>
      </c>
      <c r="P331" s="54">
        <f t="shared" si="176"/>
        <v>0</v>
      </c>
      <c r="Q331" s="54">
        <f t="shared" si="177"/>
        <v>0</v>
      </c>
      <c r="R331" s="55">
        <f t="shared" si="178"/>
        <v>0</v>
      </c>
      <c r="S331" s="55">
        <f t="shared" si="179"/>
        <v>1</v>
      </c>
      <c r="T331" s="56"/>
      <c r="V331" s="57"/>
      <c r="W331" s="58"/>
      <c r="X331" s="58"/>
      <c r="Y331" s="58"/>
      <c r="Z331" s="58"/>
      <c r="AA331" s="58"/>
      <c r="AB331" s="58"/>
      <c r="AC331" s="58"/>
      <c r="AD331" s="59"/>
      <c r="AE331" s="60"/>
      <c r="AF331" s="61"/>
      <c r="AG331" s="59"/>
      <c r="AH331" s="60"/>
      <c r="AI331" s="62"/>
      <c r="AJ331" s="62">
        <f t="shared" si="184"/>
        <v>0</v>
      </c>
      <c r="AK331" s="63"/>
      <c r="AL331" s="64">
        <f t="shared" si="185"/>
        <v>0</v>
      </c>
      <c r="AP331" s="65">
        <f t="shared" si="113"/>
        <v>1</v>
      </c>
      <c r="AQ331" s="16">
        <f t="shared" si="114"/>
        <v>1</v>
      </c>
      <c r="AR331" s="16">
        <f t="shared" si="115"/>
        <v>1</v>
      </c>
      <c r="AS331" s="66">
        <f t="shared" si="116"/>
        <v>11731.039999999999</v>
      </c>
      <c r="AT331" s="67">
        <f t="shared" si="117"/>
        <v>27103.95</v>
      </c>
      <c r="AU331" s="68">
        <f t="shared" si="80"/>
        <v>17.666666666666668</v>
      </c>
      <c r="AV331" s="19">
        <f t="shared" si="118"/>
        <v>3.9587719952499595E-3</v>
      </c>
      <c r="AW331" s="69">
        <f t="shared" si="119"/>
        <v>0</v>
      </c>
      <c r="AY331" s="65">
        <f t="shared" si="120"/>
        <v>0</v>
      </c>
      <c r="AZ331" s="16">
        <f t="shared" si="121"/>
        <v>1</v>
      </c>
      <c r="BA331" s="16">
        <f t="shared" si="122"/>
        <v>0</v>
      </c>
      <c r="BB331" s="70">
        <f t="shared" si="123"/>
        <v>0</v>
      </c>
      <c r="BC331" s="67">
        <f t="shared" si="124"/>
        <v>0</v>
      </c>
      <c r="BD331" s="71">
        <f t="shared" si="125"/>
        <v>0</v>
      </c>
      <c r="BE331" s="19">
        <f t="shared" si="126"/>
        <v>0</v>
      </c>
      <c r="BF331" s="69">
        <f t="shared" si="127"/>
        <v>0</v>
      </c>
      <c r="BH331" s="72">
        <f t="shared" si="128"/>
        <v>27103.95</v>
      </c>
      <c r="BI331" s="73">
        <f t="shared" si="129"/>
        <v>1</v>
      </c>
      <c r="BJ331" s="74">
        <f t="shared" si="130"/>
        <v>2.4095929871668057E-3</v>
      </c>
      <c r="BK331" s="75">
        <f t="shared" si="131"/>
        <v>0</v>
      </c>
      <c r="BM331" s="76">
        <f t="shared" si="132"/>
        <v>1</v>
      </c>
    </row>
    <row r="332" spans="1:65" ht="12.75" customHeight="1" x14ac:dyDescent="0.2">
      <c r="A332" s="47"/>
      <c r="B332" s="48" t="s">
        <v>667</v>
      </c>
      <c r="C332" s="49">
        <v>52000</v>
      </c>
      <c r="D332" s="50">
        <v>13</v>
      </c>
      <c r="E332" s="49">
        <v>40635.97</v>
      </c>
      <c r="F332" s="50" t="s">
        <v>63</v>
      </c>
      <c r="G332" s="51">
        <v>45386</v>
      </c>
      <c r="H332" s="52" t="s">
        <v>56</v>
      </c>
      <c r="I332" s="51">
        <v>45603</v>
      </c>
      <c r="J332" s="52">
        <f t="shared" si="175"/>
        <v>7.2333333333333334</v>
      </c>
      <c r="K332" s="53" t="s">
        <v>668</v>
      </c>
      <c r="L332" s="53">
        <v>48000</v>
      </c>
      <c r="M332" s="54">
        <v>61.68</v>
      </c>
      <c r="N332" s="54">
        <v>7900.41</v>
      </c>
      <c r="O332" s="54">
        <v>320</v>
      </c>
      <c r="P332" s="54">
        <f t="shared" si="176"/>
        <v>0</v>
      </c>
      <c r="Q332" s="54">
        <f t="shared" si="177"/>
        <v>918.06000000000131</v>
      </c>
      <c r="R332" s="55">
        <f t="shared" si="178"/>
        <v>2.2592299384018674E-2</v>
      </c>
      <c r="S332" s="55">
        <f t="shared" si="179"/>
        <v>0.97740770061598137</v>
      </c>
      <c r="T332" s="56"/>
      <c r="V332" s="57"/>
      <c r="W332" s="58"/>
      <c r="X332" s="58"/>
      <c r="Y332" s="58"/>
      <c r="Z332" s="58"/>
      <c r="AA332" s="58"/>
      <c r="AB332" s="58"/>
      <c r="AC332" s="58"/>
      <c r="AD332" s="59"/>
      <c r="AE332" s="60"/>
      <c r="AF332" s="61"/>
      <c r="AG332" s="59"/>
      <c r="AH332" s="60"/>
      <c r="AI332" s="62"/>
      <c r="AJ332" s="62"/>
      <c r="AK332" s="63"/>
      <c r="AL332" s="64"/>
      <c r="AP332" s="65">
        <f t="shared" si="113"/>
        <v>0</v>
      </c>
      <c r="AQ332" s="16">
        <f t="shared" si="114"/>
        <v>1</v>
      </c>
      <c r="AR332" s="16">
        <f t="shared" si="115"/>
        <v>0</v>
      </c>
      <c r="AS332" s="66">
        <f t="shared" si="116"/>
        <v>0</v>
      </c>
      <c r="AT332" s="67">
        <f t="shared" si="117"/>
        <v>0</v>
      </c>
      <c r="AU332" s="68">
        <f t="shared" si="80"/>
        <v>0</v>
      </c>
      <c r="AV332" s="19">
        <f t="shared" si="118"/>
        <v>0</v>
      </c>
      <c r="AW332" s="69">
        <f t="shared" si="119"/>
        <v>0</v>
      </c>
      <c r="AY332" s="65">
        <f t="shared" si="120"/>
        <v>1</v>
      </c>
      <c r="AZ332" s="16">
        <f t="shared" si="121"/>
        <v>1</v>
      </c>
      <c r="BA332" s="16">
        <f t="shared" si="122"/>
        <v>1</v>
      </c>
      <c r="BB332" s="70">
        <f t="shared" si="123"/>
        <v>8220.41</v>
      </c>
      <c r="BC332" s="67">
        <f t="shared" si="124"/>
        <v>40635.97</v>
      </c>
      <c r="BD332" s="71">
        <f t="shared" si="125"/>
        <v>7.2333333333333334</v>
      </c>
      <c r="BE332" s="19">
        <f t="shared" si="126"/>
        <v>9.2316774053149715E-3</v>
      </c>
      <c r="BF332" s="69">
        <f t="shared" si="127"/>
        <v>2.0856481975755655E-4</v>
      </c>
      <c r="BH332" s="72">
        <f t="shared" si="128"/>
        <v>40635.97</v>
      </c>
      <c r="BI332" s="73">
        <f t="shared" si="129"/>
        <v>1</v>
      </c>
      <c r="BJ332" s="74">
        <f t="shared" si="130"/>
        <v>3.6126154430893174E-3</v>
      </c>
      <c r="BK332" s="75">
        <f t="shared" si="131"/>
        <v>8.1617289649603132E-5</v>
      </c>
      <c r="BM332" s="76">
        <f t="shared" si="132"/>
        <v>1</v>
      </c>
    </row>
    <row r="333" spans="1:65" ht="12.75" customHeight="1" x14ac:dyDescent="0.2">
      <c r="A333" s="47"/>
      <c r="B333" s="48" t="s">
        <v>669</v>
      </c>
      <c r="C333" s="49">
        <v>50000</v>
      </c>
      <c r="D333" s="50">
        <v>13</v>
      </c>
      <c r="E333" s="49">
        <v>39551</v>
      </c>
      <c r="F333" s="50" t="s">
        <v>63</v>
      </c>
      <c r="G333" s="51">
        <v>45386</v>
      </c>
      <c r="H333" s="52" t="s">
        <v>56</v>
      </c>
      <c r="I333" s="51">
        <v>45674</v>
      </c>
      <c r="J333" s="52">
        <f t="shared" si="175"/>
        <v>9.6</v>
      </c>
      <c r="K333" s="53" t="s">
        <v>670</v>
      </c>
      <c r="L333" s="53">
        <v>52500</v>
      </c>
      <c r="M333" s="54">
        <f>322.67+68.25+82.03+60.84+14.16+120.25</f>
        <v>668.2</v>
      </c>
      <c r="N333" s="54">
        <f>454+100+41+3392.78+258.75+82+3+30+344+16+112+55+2625+267.5+60+20</f>
        <v>7861.0300000000007</v>
      </c>
      <c r="O333" s="54">
        <v>2079.79</v>
      </c>
      <c r="P333" s="54">
        <f t="shared" si="176"/>
        <v>0</v>
      </c>
      <c r="Q333" s="54">
        <f t="shared" si="177"/>
        <v>0</v>
      </c>
      <c r="R333" s="55">
        <f t="shared" si="178"/>
        <v>0</v>
      </c>
      <c r="S333" s="55">
        <f t="shared" si="179"/>
        <v>1</v>
      </c>
      <c r="T333" s="56"/>
      <c r="V333" s="57"/>
      <c r="W333" s="58"/>
      <c r="X333" s="58"/>
      <c r="Y333" s="58"/>
      <c r="Z333" s="58"/>
      <c r="AA333" s="58"/>
      <c r="AB333" s="58"/>
      <c r="AC333" s="58"/>
      <c r="AD333" s="59"/>
      <c r="AE333" s="60"/>
      <c r="AF333" s="61"/>
      <c r="AG333" s="59"/>
      <c r="AH333" s="60"/>
      <c r="AI333" s="62"/>
      <c r="AJ333" s="62"/>
      <c r="AK333" s="63"/>
      <c r="AL333" s="64"/>
      <c r="AP333" s="65">
        <f t="shared" si="113"/>
        <v>0</v>
      </c>
      <c r="AQ333" s="16">
        <f t="shared" si="114"/>
        <v>1</v>
      </c>
      <c r="AR333" s="16">
        <f t="shared" si="115"/>
        <v>0</v>
      </c>
      <c r="AS333" s="66">
        <f t="shared" si="116"/>
        <v>0</v>
      </c>
      <c r="AT333" s="67">
        <f t="shared" si="117"/>
        <v>0</v>
      </c>
      <c r="AU333" s="68">
        <f t="shared" si="80"/>
        <v>0</v>
      </c>
      <c r="AV333" s="19">
        <f t="shared" si="118"/>
        <v>0</v>
      </c>
      <c r="AW333" s="69">
        <f t="shared" si="119"/>
        <v>0</v>
      </c>
      <c r="AY333" s="65">
        <f t="shared" si="120"/>
        <v>1</v>
      </c>
      <c r="AZ333" s="16">
        <f t="shared" si="121"/>
        <v>1</v>
      </c>
      <c r="BA333" s="16">
        <f t="shared" si="122"/>
        <v>1</v>
      </c>
      <c r="BB333" s="70">
        <f t="shared" si="123"/>
        <v>9940.82</v>
      </c>
      <c r="BC333" s="67">
        <f t="shared" si="124"/>
        <v>39551</v>
      </c>
      <c r="BD333" s="71">
        <f t="shared" si="125"/>
        <v>9.6</v>
      </c>
      <c r="BE333" s="19">
        <f t="shared" si="126"/>
        <v>8.9851939810373042E-3</v>
      </c>
      <c r="BF333" s="69">
        <f t="shared" si="127"/>
        <v>0</v>
      </c>
      <c r="BH333" s="72">
        <f t="shared" si="128"/>
        <v>39551</v>
      </c>
      <c r="BI333" s="73">
        <f t="shared" si="129"/>
        <v>1</v>
      </c>
      <c r="BJ333" s="74">
        <f t="shared" si="130"/>
        <v>3.5161595352498189E-3</v>
      </c>
      <c r="BK333" s="75">
        <f t="shared" si="131"/>
        <v>0</v>
      </c>
      <c r="BM333" s="76">
        <f t="shared" si="132"/>
        <v>1</v>
      </c>
    </row>
    <row r="334" spans="1:65" ht="12.75" customHeight="1" x14ac:dyDescent="0.2">
      <c r="A334" s="47"/>
      <c r="B334" s="48" t="s">
        <v>671</v>
      </c>
      <c r="C334" s="49">
        <v>55000</v>
      </c>
      <c r="D334" s="50">
        <v>13</v>
      </c>
      <c r="E334" s="49">
        <v>54745.8</v>
      </c>
      <c r="F334" s="50" t="s">
        <v>63</v>
      </c>
      <c r="G334" s="51">
        <v>45390</v>
      </c>
      <c r="H334" s="52" t="s">
        <v>56</v>
      </c>
      <c r="I334" s="51">
        <v>45709</v>
      </c>
      <c r="J334" s="52">
        <f t="shared" si="175"/>
        <v>10.633333333333333</v>
      </c>
      <c r="K334" s="53" t="s">
        <v>672</v>
      </c>
      <c r="L334" s="53">
        <v>60000</v>
      </c>
      <c r="M334" s="54">
        <v>59.13</v>
      </c>
      <c r="N334" s="54">
        <v>7845.79</v>
      </c>
      <c r="O334" s="54">
        <v>120</v>
      </c>
      <c r="P334" s="54">
        <f t="shared" si="176"/>
        <v>0</v>
      </c>
      <c r="Q334" s="54">
        <f t="shared" si="177"/>
        <v>2770.720000000003</v>
      </c>
      <c r="R334" s="55">
        <f t="shared" si="178"/>
        <v>5.061064045095702E-2</v>
      </c>
      <c r="S334" s="55">
        <f t="shared" si="179"/>
        <v>0.94938935954904302</v>
      </c>
      <c r="T334" s="56"/>
      <c r="V334" s="57"/>
      <c r="W334" s="58"/>
      <c r="X334" s="58"/>
      <c r="Y334" s="58"/>
      <c r="Z334" s="58"/>
      <c r="AA334" s="58"/>
      <c r="AB334" s="58"/>
      <c r="AC334" s="58"/>
      <c r="AD334" s="59"/>
      <c r="AE334" s="60"/>
      <c r="AF334" s="61"/>
      <c r="AG334" s="59"/>
      <c r="AH334" s="60"/>
      <c r="AI334" s="62"/>
      <c r="AJ334" s="62"/>
      <c r="AK334" s="63"/>
      <c r="AL334" s="64"/>
      <c r="AP334" s="65">
        <f t="shared" si="113"/>
        <v>0</v>
      </c>
      <c r="AQ334" s="16">
        <f t="shared" si="114"/>
        <v>1</v>
      </c>
      <c r="AR334" s="16">
        <f t="shared" si="115"/>
        <v>0</v>
      </c>
      <c r="AS334" s="66">
        <f t="shared" si="116"/>
        <v>0</v>
      </c>
      <c r="AT334" s="67">
        <f t="shared" si="117"/>
        <v>0</v>
      </c>
      <c r="AU334" s="68">
        <f t="shared" si="80"/>
        <v>0</v>
      </c>
      <c r="AV334" s="19">
        <f t="shared" si="118"/>
        <v>0</v>
      </c>
      <c r="AW334" s="69">
        <f t="shared" si="119"/>
        <v>0</v>
      </c>
      <c r="AY334" s="65">
        <f t="shared" si="120"/>
        <v>1</v>
      </c>
      <c r="AZ334" s="16">
        <f t="shared" si="121"/>
        <v>1</v>
      </c>
      <c r="BA334" s="16">
        <f t="shared" si="122"/>
        <v>1</v>
      </c>
      <c r="BB334" s="70">
        <f t="shared" si="123"/>
        <v>7965.79</v>
      </c>
      <c r="BC334" s="67">
        <f t="shared" si="124"/>
        <v>54745.8</v>
      </c>
      <c r="BD334" s="71">
        <f t="shared" si="125"/>
        <v>10.633333333333333</v>
      </c>
      <c r="BE334" s="19">
        <f t="shared" si="126"/>
        <v>1.2437147800234433E-2</v>
      </c>
      <c r="BF334" s="69">
        <f t="shared" si="127"/>
        <v>6.2945201555307593E-4</v>
      </c>
      <c r="BH334" s="72">
        <f t="shared" si="128"/>
        <v>54745.8</v>
      </c>
      <c r="BI334" s="73">
        <f t="shared" si="129"/>
        <v>1</v>
      </c>
      <c r="BJ334" s="74">
        <f t="shared" si="130"/>
        <v>4.8670063129852481E-3</v>
      </c>
      <c r="BK334" s="75">
        <f t="shared" si="131"/>
        <v>2.4632230657903439E-4</v>
      </c>
      <c r="BM334" s="76">
        <f t="shared" si="132"/>
        <v>1</v>
      </c>
    </row>
    <row r="335" spans="1:65" ht="12.75" customHeight="1" x14ac:dyDescent="0.2">
      <c r="A335" s="47"/>
      <c r="B335" s="48" t="s">
        <v>673</v>
      </c>
      <c r="C335" s="49">
        <v>49995</v>
      </c>
      <c r="D335" s="50">
        <v>13</v>
      </c>
      <c r="E335" s="49">
        <v>38780.99</v>
      </c>
      <c r="F335" s="50" t="s">
        <v>63</v>
      </c>
      <c r="G335" s="51">
        <v>45390</v>
      </c>
      <c r="H335" s="52" t="s">
        <v>56</v>
      </c>
      <c r="I335" s="51">
        <v>45623</v>
      </c>
      <c r="J335" s="52">
        <f t="shared" si="175"/>
        <v>7.7666666666666666</v>
      </c>
      <c r="K335" s="53" t="s">
        <v>674</v>
      </c>
      <c r="L335" s="53">
        <v>55000</v>
      </c>
      <c r="M335" s="54">
        <v>249.25000000000003</v>
      </c>
      <c r="N335" s="54">
        <v>8016.0999999999995</v>
      </c>
      <c r="O335" s="54">
        <v>2495.66</v>
      </c>
      <c r="P335" s="54">
        <f t="shared" si="176"/>
        <v>0</v>
      </c>
      <c r="Q335" s="54">
        <f t="shared" si="177"/>
        <v>0</v>
      </c>
      <c r="R335" s="55">
        <f t="shared" si="178"/>
        <v>0</v>
      </c>
      <c r="S335" s="55">
        <f t="shared" si="179"/>
        <v>1</v>
      </c>
      <c r="T335" s="56"/>
      <c r="V335" s="57"/>
      <c r="W335" s="58"/>
      <c r="X335" s="58"/>
      <c r="Y335" s="58"/>
      <c r="Z335" s="58"/>
      <c r="AA335" s="58"/>
      <c r="AB335" s="58"/>
      <c r="AC335" s="58"/>
      <c r="AD335" s="59"/>
      <c r="AE335" s="60"/>
      <c r="AF335" s="61"/>
      <c r="AG335" s="59"/>
      <c r="AH335" s="60"/>
      <c r="AI335" s="62"/>
      <c r="AJ335" s="62"/>
      <c r="AK335" s="63"/>
      <c r="AL335" s="64"/>
      <c r="AP335" s="65">
        <f t="shared" si="113"/>
        <v>0</v>
      </c>
      <c r="AQ335" s="16">
        <f t="shared" si="114"/>
        <v>1</v>
      </c>
      <c r="AR335" s="16">
        <f t="shared" si="115"/>
        <v>0</v>
      </c>
      <c r="AS335" s="66">
        <f t="shared" si="116"/>
        <v>0</v>
      </c>
      <c r="AT335" s="67">
        <f t="shared" si="117"/>
        <v>0</v>
      </c>
      <c r="AU335" s="68">
        <f t="shared" si="80"/>
        <v>0</v>
      </c>
      <c r="AV335" s="19">
        <f t="shared" si="118"/>
        <v>0</v>
      </c>
      <c r="AW335" s="69">
        <f t="shared" si="119"/>
        <v>0</v>
      </c>
      <c r="AY335" s="65">
        <f t="shared" si="120"/>
        <v>1</v>
      </c>
      <c r="AZ335" s="16">
        <f t="shared" si="121"/>
        <v>1</v>
      </c>
      <c r="BA335" s="16">
        <f t="shared" si="122"/>
        <v>1</v>
      </c>
      <c r="BB335" s="70">
        <f t="shared" si="123"/>
        <v>10511.759999999998</v>
      </c>
      <c r="BC335" s="67">
        <f t="shared" si="124"/>
        <v>38780.99</v>
      </c>
      <c r="BD335" s="71">
        <f t="shared" si="125"/>
        <v>7.7666666666666666</v>
      </c>
      <c r="BE335" s="19">
        <f t="shared" si="126"/>
        <v>8.8102631520484403E-3</v>
      </c>
      <c r="BF335" s="69">
        <f t="shared" si="127"/>
        <v>0</v>
      </c>
      <c r="BH335" s="72">
        <f t="shared" si="128"/>
        <v>38780.99</v>
      </c>
      <c r="BI335" s="73">
        <f t="shared" si="129"/>
        <v>1</v>
      </c>
      <c r="BJ335" s="74">
        <f t="shared" si="130"/>
        <v>3.44770417372324E-3</v>
      </c>
      <c r="BK335" s="75">
        <f t="shared" si="131"/>
        <v>0</v>
      </c>
      <c r="BM335" s="76">
        <f t="shared" si="132"/>
        <v>1</v>
      </c>
    </row>
    <row r="336" spans="1:65" ht="12.75" customHeight="1" x14ac:dyDescent="0.2">
      <c r="A336" s="47"/>
      <c r="B336" s="48" t="s">
        <v>675</v>
      </c>
      <c r="C336" s="49">
        <v>40000</v>
      </c>
      <c r="D336" s="50">
        <v>13</v>
      </c>
      <c r="E336" s="49">
        <v>33171.51</v>
      </c>
      <c r="F336" s="50" t="s">
        <v>63</v>
      </c>
      <c r="G336" s="51">
        <v>45386</v>
      </c>
      <c r="H336" s="52" t="s">
        <v>56</v>
      </c>
      <c r="I336" s="51">
        <v>45468</v>
      </c>
      <c r="J336" s="52">
        <f t="shared" si="175"/>
        <v>2.7333333333333334</v>
      </c>
      <c r="K336" s="53" t="s">
        <v>676</v>
      </c>
      <c r="L336" s="53">
        <v>47500</v>
      </c>
      <c r="M336" s="54">
        <v>141.83999999999997</v>
      </c>
      <c r="N336" s="77">
        <v>6937.6900000000005</v>
      </c>
      <c r="O336" s="54">
        <v>0</v>
      </c>
      <c r="P336" s="54">
        <f t="shared" si="176"/>
        <v>0</v>
      </c>
      <c r="Q336" s="54">
        <f t="shared" si="177"/>
        <v>0</v>
      </c>
      <c r="R336" s="55">
        <f t="shared" si="178"/>
        <v>0</v>
      </c>
      <c r="S336" s="55">
        <f t="shared" si="179"/>
        <v>1</v>
      </c>
      <c r="T336" s="56"/>
      <c r="V336" s="57"/>
      <c r="W336" s="58"/>
      <c r="X336" s="58"/>
      <c r="Y336" s="58"/>
      <c r="Z336" s="58"/>
      <c r="AA336" s="58"/>
      <c r="AB336" s="58"/>
      <c r="AC336" s="58"/>
      <c r="AD336" s="59"/>
      <c r="AE336" s="60"/>
      <c r="AF336" s="61"/>
      <c r="AG336" s="59"/>
      <c r="AH336" s="60"/>
      <c r="AI336" s="62"/>
      <c r="AJ336" s="62"/>
      <c r="AK336" s="63"/>
      <c r="AL336" s="64"/>
      <c r="AP336" s="65">
        <f t="shared" si="113"/>
        <v>0</v>
      </c>
      <c r="AQ336" s="16">
        <f t="shared" si="114"/>
        <v>1</v>
      </c>
      <c r="AR336" s="16">
        <f t="shared" si="115"/>
        <v>0</v>
      </c>
      <c r="AS336" s="66">
        <f t="shared" si="116"/>
        <v>0</v>
      </c>
      <c r="AT336" s="67">
        <f t="shared" si="117"/>
        <v>0</v>
      </c>
      <c r="AU336" s="68">
        <f t="shared" si="80"/>
        <v>0</v>
      </c>
      <c r="AV336" s="19">
        <f t="shared" si="118"/>
        <v>0</v>
      </c>
      <c r="AW336" s="69">
        <f t="shared" si="119"/>
        <v>0</v>
      </c>
      <c r="AY336" s="65">
        <f t="shared" si="120"/>
        <v>1</v>
      </c>
      <c r="AZ336" s="16">
        <f t="shared" si="121"/>
        <v>1</v>
      </c>
      <c r="BA336" s="16">
        <f t="shared" si="122"/>
        <v>1</v>
      </c>
      <c r="BB336" s="70">
        <f t="shared" si="123"/>
        <v>6937.6900000000005</v>
      </c>
      <c r="BC336" s="67">
        <f t="shared" si="124"/>
        <v>33171.51</v>
      </c>
      <c r="BD336" s="71">
        <f t="shared" si="125"/>
        <v>2.7333333333333334</v>
      </c>
      <c r="BE336" s="19">
        <f t="shared" si="126"/>
        <v>7.5359017975251893E-3</v>
      </c>
      <c r="BF336" s="69">
        <f t="shared" si="127"/>
        <v>0</v>
      </c>
      <c r="BH336" s="72">
        <f t="shared" si="128"/>
        <v>33171.51</v>
      </c>
      <c r="BI336" s="73">
        <f t="shared" si="129"/>
        <v>1</v>
      </c>
      <c r="BJ336" s="74">
        <f t="shared" si="130"/>
        <v>2.9490106744490588E-3</v>
      </c>
      <c r="BK336" s="75">
        <f t="shared" si="131"/>
        <v>0</v>
      </c>
      <c r="BM336" s="76">
        <f t="shared" si="132"/>
        <v>1</v>
      </c>
    </row>
    <row r="337" spans="1:72" ht="12.75" customHeight="1" x14ac:dyDescent="0.2">
      <c r="A337" s="47"/>
      <c r="B337" s="48" t="s">
        <v>677</v>
      </c>
      <c r="C337" s="49">
        <v>15000</v>
      </c>
      <c r="D337" s="50">
        <v>13</v>
      </c>
      <c r="E337" s="49">
        <v>14849.61</v>
      </c>
      <c r="F337" s="50" t="s">
        <v>63</v>
      </c>
      <c r="G337" s="51">
        <v>45387</v>
      </c>
      <c r="H337" s="52" t="s">
        <v>56</v>
      </c>
      <c r="I337" s="51">
        <v>45775</v>
      </c>
      <c r="J337" s="52">
        <f t="shared" si="175"/>
        <v>12.933333333333334</v>
      </c>
      <c r="K337" s="53" t="s">
        <v>678</v>
      </c>
      <c r="L337" s="53">
        <v>30000</v>
      </c>
      <c r="M337" s="54">
        <v>544.75</v>
      </c>
      <c r="N337" s="54">
        <v>4199.76</v>
      </c>
      <c r="O337" s="54">
        <v>2571.13</v>
      </c>
      <c r="P337" s="54">
        <f t="shared" si="176"/>
        <v>0</v>
      </c>
      <c r="Q337" s="54">
        <f t="shared" si="177"/>
        <v>0</v>
      </c>
      <c r="R337" s="55">
        <f t="shared" si="178"/>
        <v>0</v>
      </c>
      <c r="S337" s="55">
        <f t="shared" si="179"/>
        <v>1</v>
      </c>
      <c r="T337" s="56"/>
      <c r="V337" s="57"/>
      <c r="W337" s="58"/>
      <c r="X337" s="58"/>
      <c r="Y337" s="58"/>
      <c r="Z337" s="58"/>
      <c r="AA337" s="58"/>
      <c r="AB337" s="58"/>
      <c r="AC337" s="58"/>
      <c r="AD337" s="59"/>
      <c r="AE337" s="60"/>
      <c r="AF337" s="61"/>
      <c r="AG337" s="59"/>
      <c r="AH337" s="60"/>
      <c r="AI337" s="62"/>
      <c r="AJ337" s="62"/>
      <c r="AK337" s="63"/>
      <c r="AL337" s="64"/>
      <c r="AP337" s="65">
        <f t="shared" si="113"/>
        <v>0</v>
      </c>
      <c r="AQ337" s="16">
        <f t="shared" si="114"/>
        <v>1</v>
      </c>
      <c r="AR337" s="16">
        <f t="shared" si="115"/>
        <v>0</v>
      </c>
      <c r="AS337" s="66">
        <f t="shared" si="116"/>
        <v>0</v>
      </c>
      <c r="AT337" s="67">
        <f t="shared" si="117"/>
        <v>0</v>
      </c>
      <c r="AU337" s="68">
        <f t="shared" si="80"/>
        <v>0</v>
      </c>
      <c r="AV337" s="19">
        <f t="shared" si="118"/>
        <v>0</v>
      </c>
      <c r="AW337" s="69">
        <f t="shared" si="119"/>
        <v>0</v>
      </c>
      <c r="AY337" s="65">
        <f t="shared" si="120"/>
        <v>1</v>
      </c>
      <c r="AZ337" s="16">
        <f t="shared" si="121"/>
        <v>1</v>
      </c>
      <c r="BA337" s="16">
        <f t="shared" si="122"/>
        <v>1</v>
      </c>
      <c r="BB337" s="70">
        <f t="shared" si="123"/>
        <v>6770.89</v>
      </c>
      <c r="BC337" s="67">
        <f t="shared" si="124"/>
        <v>14849.61</v>
      </c>
      <c r="BD337" s="71">
        <f t="shared" si="125"/>
        <v>12.933333333333334</v>
      </c>
      <c r="BE337" s="19">
        <f t="shared" si="126"/>
        <v>3.3735335741890563E-3</v>
      </c>
      <c r="BF337" s="69">
        <f t="shared" si="127"/>
        <v>0</v>
      </c>
      <c r="BH337" s="72">
        <f t="shared" si="128"/>
        <v>14849.61</v>
      </c>
      <c r="BI337" s="73">
        <f t="shared" si="129"/>
        <v>1</v>
      </c>
      <c r="BJ337" s="74">
        <f t="shared" si="130"/>
        <v>1.3201587266122492E-3</v>
      </c>
      <c r="BK337" s="75">
        <f t="shared" si="131"/>
        <v>0</v>
      </c>
      <c r="BM337" s="76">
        <f t="shared" si="132"/>
        <v>1</v>
      </c>
    </row>
    <row r="338" spans="1:72" ht="12.75" customHeight="1" x14ac:dyDescent="0.2">
      <c r="A338" s="47"/>
      <c r="B338" s="48" t="s">
        <v>679</v>
      </c>
      <c r="C338" s="49">
        <v>60000</v>
      </c>
      <c r="D338" s="50">
        <v>13</v>
      </c>
      <c r="E338" s="49">
        <v>56914.86</v>
      </c>
      <c r="F338" s="50" t="s">
        <v>63</v>
      </c>
      <c r="G338" s="51">
        <v>45162</v>
      </c>
      <c r="H338" s="52" t="s">
        <v>56</v>
      </c>
      <c r="I338" s="51">
        <v>45468</v>
      </c>
      <c r="J338" s="52">
        <f t="shared" si="175"/>
        <v>10.199999999999999</v>
      </c>
      <c r="K338" s="53" t="s">
        <v>680</v>
      </c>
      <c r="L338" s="53">
        <v>67000</v>
      </c>
      <c r="M338" s="54">
        <v>190.59</v>
      </c>
      <c r="N338" s="77">
        <v>9441.68</v>
      </c>
      <c r="O338" s="54">
        <v>1589.49</v>
      </c>
      <c r="P338" s="54">
        <f t="shared" si="176"/>
        <v>0</v>
      </c>
      <c r="Q338" s="54">
        <f t="shared" si="177"/>
        <v>1136.620000000001</v>
      </c>
      <c r="R338" s="55">
        <f t="shared" si="178"/>
        <v>1.9970531421846616E-2</v>
      </c>
      <c r="S338" s="55">
        <f t="shared" si="179"/>
        <v>0.98002946857815343</v>
      </c>
      <c r="T338" s="56"/>
      <c r="V338" s="57"/>
      <c r="W338" s="58"/>
      <c r="X338" s="58"/>
      <c r="Y338" s="58"/>
      <c r="Z338" s="58"/>
      <c r="AA338" s="58"/>
      <c r="AB338" s="58"/>
      <c r="AC338" s="58"/>
      <c r="AD338" s="59"/>
      <c r="AE338" s="60"/>
      <c r="AF338" s="61"/>
      <c r="AG338" s="59"/>
      <c r="AH338" s="60"/>
      <c r="AI338" s="62"/>
      <c r="AJ338" s="62"/>
      <c r="AK338" s="63"/>
      <c r="AL338" s="64"/>
      <c r="AM338" s="5">
        <v>237.21</v>
      </c>
      <c r="AP338" s="65">
        <f t="shared" si="113"/>
        <v>0</v>
      </c>
      <c r="AQ338" s="16">
        <f t="shared" si="114"/>
        <v>1</v>
      </c>
      <c r="AR338" s="16">
        <f t="shared" si="115"/>
        <v>0</v>
      </c>
      <c r="AS338" s="66">
        <f t="shared" si="116"/>
        <v>0</v>
      </c>
      <c r="AT338" s="67">
        <f t="shared" si="117"/>
        <v>0</v>
      </c>
      <c r="AU338" s="68">
        <f t="shared" si="80"/>
        <v>0</v>
      </c>
      <c r="AV338" s="19">
        <f t="shared" si="118"/>
        <v>0</v>
      </c>
      <c r="AW338" s="69">
        <f t="shared" si="119"/>
        <v>0</v>
      </c>
      <c r="AY338" s="65">
        <f t="shared" si="120"/>
        <v>1</v>
      </c>
      <c r="AZ338" s="16">
        <f t="shared" si="121"/>
        <v>1</v>
      </c>
      <c r="BA338" s="16">
        <f t="shared" si="122"/>
        <v>1</v>
      </c>
      <c r="BB338" s="70">
        <f t="shared" si="123"/>
        <v>11031.17</v>
      </c>
      <c r="BC338" s="67">
        <f t="shared" si="124"/>
        <v>56914.86</v>
      </c>
      <c r="BD338" s="71">
        <f t="shared" si="125"/>
        <v>10.199999999999999</v>
      </c>
      <c r="BE338" s="19">
        <f t="shared" si="126"/>
        <v>1.2929914730438695E-2</v>
      </c>
      <c r="BF338" s="69">
        <f t="shared" si="127"/>
        <v>2.5821726840602336E-4</v>
      </c>
      <c r="BH338" s="72">
        <f t="shared" si="128"/>
        <v>56914.86</v>
      </c>
      <c r="BI338" s="73">
        <f t="shared" si="129"/>
        <v>1</v>
      </c>
      <c r="BJ338" s="74">
        <f t="shared" si="130"/>
        <v>5.0598398949813789E-3</v>
      </c>
      <c r="BK338" s="75">
        <f t="shared" si="131"/>
        <v>1.0104769161223871E-4</v>
      </c>
      <c r="BM338" s="76">
        <f t="shared" si="132"/>
        <v>1</v>
      </c>
    </row>
    <row r="339" spans="1:72" ht="12.75" customHeight="1" x14ac:dyDescent="0.2">
      <c r="A339" s="47"/>
      <c r="B339" s="48" t="s">
        <v>681</v>
      </c>
      <c r="C339" s="49">
        <v>49000</v>
      </c>
      <c r="D339" s="50">
        <v>13</v>
      </c>
      <c r="E339" s="49">
        <v>45875.35</v>
      </c>
      <c r="F339" s="50" t="s">
        <v>63</v>
      </c>
      <c r="G339" s="51">
        <v>45209</v>
      </c>
      <c r="H339" s="52" t="s">
        <v>56</v>
      </c>
      <c r="I339" s="51">
        <v>45442</v>
      </c>
      <c r="J339" s="52">
        <f t="shared" si="175"/>
        <v>7.7666666666666666</v>
      </c>
      <c r="K339" s="53" t="s">
        <v>682</v>
      </c>
      <c r="L339" s="53">
        <v>56500</v>
      </c>
      <c r="M339" s="54">
        <v>119</v>
      </c>
      <c r="N339" s="77">
        <v>7488.692</v>
      </c>
      <c r="O339" s="54">
        <v>3882.74</v>
      </c>
      <c r="P339" s="54">
        <f t="shared" si="176"/>
        <v>0</v>
      </c>
      <c r="Q339" s="54">
        <f t="shared" si="177"/>
        <v>865.78199999999833</v>
      </c>
      <c r="R339" s="55">
        <f t="shared" si="178"/>
        <v>1.8872488166302784E-2</v>
      </c>
      <c r="S339" s="55">
        <f t="shared" si="179"/>
        <v>0.98112751183369717</v>
      </c>
      <c r="T339" s="56"/>
      <c r="V339" s="57"/>
      <c r="W339" s="58"/>
      <c r="X339" s="58"/>
      <c r="Y339" s="58"/>
      <c r="Z339" s="58"/>
      <c r="AA339" s="58"/>
      <c r="AB339" s="58"/>
      <c r="AC339" s="58"/>
      <c r="AD339" s="59"/>
      <c r="AE339" s="60"/>
      <c r="AF339" s="61"/>
      <c r="AG339" s="59"/>
      <c r="AH339" s="60"/>
      <c r="AI339" s="62"/>
      <c r="AJ339" s="62"/>
      <c r="AK339" s="63"/>
      <c r="AL339" s="64"/>
      <c r="AP339" s="65">
        <f t="shared" si="113"/>
        <v>0</v>
      </c>
      <c r="AQ339" s="16">
        <f t="shared" si="114"/>
        <v>1</v>
      </c>
      <c r="AR339" s="16">
        <f t="shared" si="115"/>
        <v>0</v>
      </c>
      <c r="AS339" s="66">
        <f t="shared" si="116"/>
        <v>0</v>
      </c>
      <c r="AT339" s="67">
        <f t="shared" si="117"/>
        <v>0</v>
      </c>
      <c r="AU339" s="68">
        <f t="shared" si="80"/>
        <v>0</v>
      </c>
      <c r="AV339" s="19">
        <f t="shared" si="118"/>
        <v>0</v>
      </c>
      <c r="AW339" s="69">
        <f t="shared" si="119"/>
        <v>0</v>
      </c>
      <c r="AY339" s="65">
        <f t="shared" si="120"/>
        <v>1</v>
      </c>
      <c r="AZ339" s="16">
        <f t="shared" si="121"/>
        <v>1</v>
      </c>
      <c r="BA339" s="16">
        <f t="shared" si="122"/>
        <v>1</v>
      </c>
      <c r="BB339" s="70">
        <f t="shared" si="123"/>
        <v>11371.432000000001</v>
      </c>
      <c r="BC339" s="67">
        <f t="shared" si="124"/>
        <v>45875.35</v>
      </c>
      <c r="BD339" s="71">
        <f t="shared" si="125"/>
        <v>7.7666666666666666</v>
      </c>
      <c r="BE339" s="19">
        <f t="shared" si="126"/>
        <v>1.0421959462415101E-2</v>
      </c>
      <c r="BF339" s="69">
        <f t="shared" si="127"/>
        <v>1.966883066241163E-4</v>
      </c>
      <c r="BH339" s="72">
        <f t="shared" si="128"/>
        <v>45875.35</v>
      </c>
      <c r="BI339" s="73">
        <f t="shared" si="129"/>
        <v>1</v>
      </c>
      <c r="BJ339" s="74">
        <f t="shared" si="130"/>
        <v>4.0784063446037463E-3</v>
      </c>
      <c r="BK339" s="75">
        <f t="shared" si="131"/>
        <v>7.696967547590839E-5</v>
      </c>
      <c r="BM339" s="76">
        <f t="shared" si="132"/>
        <v>1</v>
      </c>
    </row>
    <row r="340" spans="1:72" ht="12.75" customHeight="1" x14ac:dyDescent="0.2">
      <c r="A340" s="47"/>
      <c r="B340" s="48" t="s">
        <v>683</v>
      </c>
      <c r="C340" s="49">
        <v>39999</v>
      </c>
      <c r="D340" s="50">
        <v>13</v>
      </c>
      <c r="E340" s="49">
        <v>36614.97</v>
      </c>
      <c r="F340" s="50" t="s">
        <v>63</v>
      </c>
      <c r="G340" s="51">
        <v>45401</v>
      </c>
      <c r="H340" s="52" t="s">
        <v>56</v>
      </c>
      <c r="I340" s="51">
        <v>45470</v>
      </c>
      <c r="J340" s="52">
        <f t="shared" si="175"/>
        <v>2.2999999999999998</v>
      </c>
      <c r="K340" s="53" t="s">
        <v>684</v>
      </c>
      <c r="L340" s="53">
        <v>45000</v>
      </c>
      <c r="M340" s="54">
        <v>315.47000000000003</v>
      </c>
      <c r="N340" s="77">
        <v>7156.37</v>
      </c>
      <c r="O340" s="54">
        <v>1333.77</v>
      </c>
      <c r="P340" s="54">
        <f t="shared" si="176"/>
        <v>0</v>
      </c>
      <c r="Q340" s="54">
        <f t="shared" si="177"/>
        <v>420.58000000000129</v>
      </c>
      <c r="R340" s="55">
        <f t="shared" si="178"/>
        <v>1.1486558639813205E-2</v>
      </c>
      <c r="S340" s="55">
        <f t="shared" si="179"/>
        <v>0.98851344136018682</v>
      </c>
      <c r="T340" s="56"/>
      <c r="V340" s="57"/>
      <c r="W340" s="58"/>
      <c r="X340" s="58"/>
      <c r="Y340" s="58"/>
      <c r="Z340" s="58"/>
      <c r="AA340" s="58"/>
      <c r="AB340" s="58"/>
      <c r="AC340" s="58"/>
      <c r="AD340" s="59"/>
      <c r="AE340" s="60"/>
      <c r="AF340" s="61"/>
      <c r="AG340" s="59"/>
      <c r="AH340" s="60"/>
      <c r="AI340" s="62"/>
      <c r="AJ340" s="62"/>
      <c r="AK340" s="63"/>
      <c r="AL340" s="64"/>
      <c r="AP340" s="65">
        <f t="shared" si="113"/>
        <v>0</v>
      </c>
      <c r="AQ340" s="16">
        <f t="shared" si="114"/>
        <v>1</v>
      </c>
      <c r="AR340" s="16">
        <f t="shared" si="115"/>
        <v>0</v>
      </c>
      <c r="AS340" s="66">
        <f t="shared" si="116"/>
        <v>0</v>
      </c>
      <c r="AT340" s="67">
        <f t="shared" si="117"/>
        <v>0</v>
      </c>
      <c r="AU340" s="68">
        <f t="shared" si="80"/>
        <v>0</v>
      </c>
      <c r="AV340" s="19">
        <f t="shared" si="118"/>
        <v>0</v>
      </c>
      <c r="AW340" s="69">
        <f t="shared" si="119"/>
        <v>0</v>
      </c>
      <c r="AY340" s="65">
        <f t="shared" si="120"/>
        <v>1</v>
      </c>
      <c r="AZ340" s="16">
        <f t="shared" si="121"/>
        <v>1</v>
      </c>
      <c r="BA340" s="16">
        <f t="shared" si="122"/>
        <v>1</v>
      </c>
      <c r="BB340" s="70">
        <f t="shared" si="123"/>
        <v>8490.14</v>
      </c>
      <c r="BC340" s="67">
        <f t="shared" si="124"/>
        <v>36614.97</v>
      </c>
      <c r="BD340" s="71">
        <f t="shared" si="125"/>
        <v>2.2999999999999998</v>
      </c>
      <c r="BE340" s="19">
        <f t="shared" si="126"/>
        <v>8.3181868488751611E-3</v>
      </c>
      <c r="BF340" s="69">
        <f t="shared" si="127"/>
        <v>9.5547341016527556E-5</v>
      </c>
      <c r="BH340" s="72">
        <f t="shared" si="128"/>
        <v>36614.97</v>
      </c>
      <c r="BI340" s="73">
        <f t="shared" si="129"/>
        <v>1</v>
      </c>
      <c r="BJ340" s="74">
        <f t="shared" si="130"/>
        <v>3.2551408535406454E-3</v>
      </c>
      <c r="BK340" s="75">
        <f t="shared" si="131"/>
        <v>3.7390366295046228E-5</v>
      </c>
      <c r="BM340" s="76">
        <f t="shared" si="132"/>
        <v>1</v>
      </c>
    </row>
    <row r="341" spans="1:72" ht="12.75" customHeight="1" x14ac:dyDescent="0.2">
      <c r="A341" s="47"/>
      <c r="B341" s="48" t="s">
        <v>685</v>
      </c>
      <c r="C341" s="49">
        <v>56437.2</v>
      </c>
      <c r="D341" s="50">
        <v>13</v>
      </c>
      <c r="E341" s="49">
        <v>45731.08</v>
      </c>
      <c r="F341" s="50" t="s">
        <v>63</v>
      </c>
      <c r="G341" s="51">
        <v>45406</v>
      </c>
      <c r="H341" s="52" t="s">
        <v>56</v>
      </c>
      <c r="I341" s="51">
        <v>45562</v>
      </c>
      <c r="J341" s="52">
        <f t="shared" si="175"/>
        <v>5.2</v>
      </c>
      <c r="K341" s="53" t="s">
        <v>686</v>
      </c>
      <c r="L341" s="53">
        <v>60000</v>
      </c>
      <c r="M341" s="54">
        <v>1117.1100000000001</v>
      </c>
      <c r="N341" s="77">
        <v>8310.66</v>
      </c>
      <c r="O341" s="54">
        <v>65</v>
      </c>
      <c r="P341" s="54">
        <f t="shared" si="176"/>
        <v>0</v>
      </c>
      <c r="Q341" s="54">
        <f t="shared" si="177"/>
        <v>0</v>
      </c>
      <c r="R341" s="55">
        <f t="shared" si="178"/>
        <v>0</v>
      </c>
      <c r="S341" s="55">
        <f t="shared" si="179"/>
        <v>1</v>
      </c>
      <c r="T341" s="56"/>
      <c r="V341" s="57"/>
      <c r="W341" s="58"/>
      <c r="X341" s="58"/>
      <c r="Y341" s="58"/>
      <c r="Z341" s="58"/>
      <c r="AA341" s="58"/>
      <c r="AB341" s="58"/>
      <c r="AC341" s="58"/>
      <c r="AD341" s="59"/>
      <c r="AE341" s="60"/>
      <c r="AF341" s="61"/>
      <c r="AG341" s="59"/>
      <c r="AH341" s="60"/>
      <c r="AI341" s="62"/>
      <c r="AJ341" s="62"/>
      <c r="AK341" s="63"/>
      <c r="AL341" s="64"/>
      <c r="AP341" s="65">
        <f t="shared" si="113"/>
        <v>0</v>
      </c>
      <c r="AQ341" s="16">
        <f t="shared" si="114"/>
        <v>1</v>
      </c>
      <c r="AR341" s="16">
        <f t="shared" si="115"/>
        <v>0</v>
      </c>
      <c r="AS341" s="66">
        <f t="shared" si="116"/>
        <v>0</v>
      </c>
      <c r="AT341" s="67">
        <f t="shared" si="117"/>
        <v>0</v>
      </c>
      <c r="AU341" s="68">
        <f t="shared" si="80"/>
        <v>0</v>
      </c>
      <c r="AV341" s="19">
        <f t="shared" si="118"/>
        <v>0</v>
      </c>
      <c r="AW341" s="69">
        <f t="shared" si="119"/>
        <v>0</v>
      </c>
      <c r="AY341" s="65">
        <f t="shared" si="120"/>
        <v>1</v>
      </c>
      <c r="AZ341" s="16">
        <f t="shared" si="121"/>
        <v>1</v>
      </c>
      <c r="BA341" s="16">
        <f t="shared" si="122"/>
        <v>1</v>
      </c>
      <c r="BB341" s="70">
        <f t="shared" si="123"/>
        <v>8375.66</v>
      </c>
      <c r="BC341" s="67">
        <f t="shared" si="124"/>
        <v>45731.08</v>
      </c>
      <c r="BD341" s="71">
        <f t="shared" si="125"/>
        <v>5.2</v>
      </c>
      <c r="BE341" s="19">
        <f t="shared" si="126"/>
        <v>1.0389184211836247E-2</v>
      </c>
      <c r="BF341" s="69">
        <f t="shared" si="127"/>
        <v>0</v>
      </c>
      <c r="BH341" s="72">
        <f t="shared" si="128"/>
        <v>45731.08</v>
      </c>
      <c r="BI341" s="73">
        <f t="shared" si="129"/>
        <v>1</v>
      </c>
      <c r="BJ341" s="74">
        <f t="shared" si="130"/>
        <v>4.0655804657093956E-3</v>
      </c>
      <c r="BK341" s="75">
        <f t="shared" si="131"/>
        <v>0</v>
      </c>
      <c r="BM341" s="76">
        <f t="shared" si="132"/>
        <v>1</v>
      </c>
    </row>
    <row r="342" spans="1:72" ht="12.75" customHeight="1" x14ac:dyDescent="0.2">
      <c r="A342" s="47"/>
      <c r="B342" s="48" t="s">
        <v>687</v>
      </c>
      <c r="C342" s="49">
        <v>33000</v>
      </c>
      <c r="D342" s="50">
        <v>13</v>
      </c>
      <c r="E342" s="49">
        <v>29637.279999999999</v>
      </c>
      <c r="F342" s="50" t="s">
        <v>55</v>
      </c>
      <c r="G342" s="51">
        <v>45386</v>
      </c>
      <c r="H342" s="52" t="s">
        <v>56</v>
      </c>
      <c r="I342" s="51">
        <v>45533</v>
      </c>
      <c r="J342" s="52">
        <f t="shared" si="175"/>
        <v>4.9000000000000004</v>
      </c>
      <c r="K342" s="53" t="s">
        <v>688</v>
      </c>
      <c r="L342" s="53">
        <v>45000</v>
      </c>
      <c r="M342" s="54">
        <v>4935.1400000000003</v>
      </c>
      <c r="N342" s="77">
        <v>6603.53</v>
      </c>
      <c r="O342" s="54">
        <v>1716.85</v>
      </c>
      <c r="P342" s="54">
        <f t="shared" si="176"/>
        <v>0</v>
      </c>
      <c r="Q342" s="54">
        <f t="shared" si="177"/>
        <v>0</v>
      </c>
      <c r="R342" s="55">
        <f t="shared" si="178"/>
        <v>0</v>
      </c>
      <c r="S342" s="55">
        <f t="shared" si="179"/>
        <v>1</v>
      </c>
      <c r="T342" s="56"/>
      <c r="V342" s="57"/>
      <c r="W342" s="58"/>
      <c r="X342" s="58"/>
      <c r="Y342" s="58"/>
      <c r="Z342" s="58"/>
      <c r="AA342" s="58"/>
      <c r="AB342" s="58"/>
      <c r="AC342" s="58"/>
      <c r="AD342" s="59"/>
      <c r="AE342" s="60"/>
      <c r="AF342" s="61"/>
      <c r="AG342" s="59"/>
      <c r="AH342" s="60"/>
      <c r="AI342" s="62"/>
      <c r="AJ342" s="62"/>
      <c r="AK342" s="63"/>
      <c r="AL342" s="64"/>
      <c r="AP342" s="65">
        <f t="shared" si="113"/>
        <v>1</v>
      </c>
      <c r="AQ342" s="16">
        <f t="shared" si="114"/>
        <v>1</v>
      </c>
      <c r="AR342" s="16">
        <f t="shared" si="115"/>
        <v>1</v>
      </c>
      <c r="AS342" s="66">
        <f t="shared" si="116"/>
        <v>8320.3799999999992</v>
      </c>
      <c r="AT342" s="67">
        <f t="shared" si="117"/>
        <v>29637.279999999999</v>
      </c>
      <c r="AU342" s="68">
        <f t="shared" si="80"/>
        <v>4.9000000000000004</v>
      </c>
      <c r="AV342" s="19">
        <f t="shared" si="118"/>
        <v>4.3287872830115801E-3</v>
      </c>
      <c r="AW342" s="69">
        <f t="shared" si="119"/>
        <v>0</v>
      </c>
      <c r="AY342" s="65">
        <f t="shared" si="120"/>
        <v>0</v>
      </c>
      <c r="AZ342" s="16">
        <f t="shared" si="121"/>
        <v>1</v>
      </c>
      <c r="BA342" s="16">
        <f t="shared" si="122"/>
        <v>0</v>
      </c>
      <c r="BB342" s="70">
        <f t="shared" si="123"/>
        <v>0</v>
      </c>
      <c r="BC342" s="67">
        <f t="shared" si="124"/>
        <v>0</v>
      </c>
      <c r="BD342" s="71">
        <f t="shared" si="125"/>
        <v>0</v>
      </c>
      <c r="BE342" s="19">
        <f t="shared" si="126"/>
        <v>0</v>
      </c>
      <c r="BF342" s="69">
        <f t="shared" si="127"/>
        <v>0</v>
      </c>
      <c r="BH342" s="72">
        <f t="shared" si="128"/>
        <v>29637.279999999999</v>
      </c>
      <c r="BI342" s="73">
        <f t="shared" si="129"/>
        <v>1</v>
      </c>
      <c r="BJ342" s="74">
        <f t="shared" si="130"/>
        <v>2.6348108687737036E-3</v>
      </c>
      <c r="BK342" s="75">
        <f t="shared" si="131"/>
        <v>0</v>
      </c>
      <c r="BM342" s="76">
        <f t="shared" si="132"/>
        <v>1</v>
      </c>
    </row>
    <row r="343" spans="1:72" ht="12.75" customHeight="1" x14ac:dyDescent="0.2">
      <c r="A343" s="47"/>
      <c r="B343" s="48" t="s">
        <v>689</v>
      </c>
      <c r="C343" s="49">
        <v>80425</v>
      </c>
      <c r="D343" s="50">
        <v>13</v>
      </c>
      <c r="E343" s="49">
        <v>73533.69</v>
      </c>
      <c r="F343" s="50" t="s">
        <v>55</v>
      </c>
      <c r="G343" s="51">
        <v>45386</v>
      </c>
      <c r="H343" s="52" t="s">
        <v>56</v>
      </c>
      <c r="I343" s="51">
        <v>45797</v>
      </c>
      <c r="J343" s="52">
        <f t="shared" si="175"/>
        <v>13.7</v>
      </c>
      <c r="K343" s="53" t="s">
        <v>690</v>
      </c>
      <c r="L343" s="53">
        <f>73533.69+6466.31</f>
        <v>80000</v>
      </c>
      <c r="M343" s="54">
        <v>2699.91</v>
      </c>
      <c r="N343" s="54">
        <v>12818.33</v>
      </c>
      <c r="O343" s="54">
        <v>318.89999999999998</v>
      </c>
      <c r="P343" s="54">
        <f t="shared" si="176"/>
        <v>0</v>
      </c>
      <c r="Q343" s="54">
        <f t="shared" si="177"/>
        <v>9370.8300000000017</v>
      </c>
      <c r="R343" s="55">
        <f t="shared" si="178"/>
        <v>0.12743587327114961</v>
      </c>
      <c r="S343" s="55">
        <f t="shared" si="179"/>
        <v>0.87256412672885042</v>
      </c>
      <c r="T343" s="56"/>
      <c r="V343" s="57"/>
      <c r="W343" s="58"/>
      <c r="X343" s="58"/>
      <c r="Y343" s="58"/>
      <c r="Z343" s="58"/>
      <c r="AA343" s="58"/>
      <c r="AB343" s="58"/>
      <c r="AC343" s="58"/>
      <c r="AD343" s="59"/>
      <c r="AE343" s="60"/>
      <c r="AF343" s="61"/>
      <c r="AG343" s="59"/>
      <c r="AH343" s="60"/>
      <c r="AI343" s="62"/>
      <c r="AJ343" s="62"/>
      <c r="AK343" s="63"/>
      <c r="AL343" s="64"/>
      <c r="AP343" s="65">
        <f t="shared" si="113"/>
        <v>1</v>
      </c>
      <c r="AQ343" s="16">
        <f t="shared" si="114"/>
        <v>1</v>
      </c>
      <c r="AR343" s="16">
        <f t="shared" si="115"/>
        <v>1</v>
      </c>
      <c r="AS343" s="66">
        <f t="shared" si="116"/>
        <v>13137.23</v>
      </c>
      <c r="AT343" s="67">
        <f t="shared" si="117"/>
        <v>73533.69</v>
      </c>
      <c r="AU343" s="68">
        <f t="shared" si="80"/>
        <v>13.7</v>
      </c>
      <c r="AV343" s="19">
        <f t="shared" si="118"/>
        <v>1.0740246815663105E-2</v>
      </c>
      <c r="AW343" s="69">
        <f t="shared" si="119"/>
        <v>1.3686927321017116E-3</v>
      </c>
      <c r="AY343" s="65">
        <f t="shared" si="120"/>
        <v>0</v>
      </c>
      <c r="AZ343" s="16">
        <f t="shared" si="121"/>
        <v>1</v>
      </c>
      <c r="BA343" s="16">
        <f t="shared" si="122"/>
        <v>0</v>
      </c>
      <c r="BB343" s="70">
        <f t="shared" si="123"/>
        <v>0</v>
      </c>
      <c r="BC343" s="67">
        <f t="shared" si="124"/>
        <v>0</v>
      </c>
      <c r="BD343" s="71">
        <f t="shared" si="125"/>
        <v>0</v>
      </c>
      <c r="BE343" s="19">
        <f t="shared" si="126"/>
        <v>0</v>
      </c>
      <c r="BF343" s="69">
        <f t="shared" si="127"/>
        <v>0</v>
      </c>
      <c r="BH343" s="72">
        <f t="shared" si="128"/>
        <v>73533.69</v>
      </c>
      <c r="BI343" s="73">
        <f t="shared" si="129"/>
        <v>1</v>
      </c>
      <c r="BJ343" s="74">
        <f t="shared" si="130"/>
        <v>6.5372856629567965E-3</v>
      </c>
      <c r="BK343" s="75">
        <f t="shared" si="131"/>
        <v>8.3308470728186556E-4</v>
      </c>
      <c r="BM343" s="76">
        <f t="shared" si="132"/>
        <v>1</v>
      </c>
    </row>
    <row r="344" spans="1:72" ht="12.75" customHeight="1" x14ac:dyDescent="0.2">
      <c r="A344" s="47"/>
      <c r="B344" s="48" t="s">
        <v>691</v>
      </c>
      <c r="C344" s="49">
        <v>28500</v>
      </c>
      <c r="D344" s="50">
        <v>13</v>
      </c>
      <c r="E344" s="49">
        <v>16565.73</v>
      </c>
      <c r="F344" s="50" t="s">
        <v>55</v>
      </c>
      <c r="G344" s="51">
        <v>45398</v>
      </c>
      <c r="H344" s="52" t="s">
        <v>56</v>
      </c>
      <c r="I344" s="51">
        <v>45776</v>
      </c>
      <c r="J344" s="52">
        <f t="shared" si="175"/>
        <v>12.6</v>
      </c>
      <c r="K344" s="53" t="s">
        <v>692</v>
      </c>
      <c r="L344" s="53">
        <v>57000</v>
      </c>
      <c r="M344" s="54">
        <v>606.28</v>
      </c>
      <c r="N344" s="54">
        <v>7688.4</v>
      </c>
      <c r="O344" s="54">
        <v>0</v>
      </c>
      <c r="P344" s="54">
        <f t="shared" si="176"/>
        <v>0</v>
      </c>
      <c r="Q344" s="54">
        <f t="shared" si="177"/>
        <v>0</v>
      </c>
      <c r="R344" s="55">
        <f t="shared" si="178"/>
        <v>0</v>
      </c>
      <c r="S344" s="55">
        <f t="shared" si="179"/>
        <v>1</v>
      </c>
      <c r="T344" s="56"/>
      <c r="V344" s="57"/>
      <c r="W344" s="58"/>
      <c r="X344" s="58"/>
      <c r="Y344" s="58"/>
      <c r="Z344" s="58"/>
      <c r="AA344" s="58"/>
      <c r="AB344" s="58"/>
      <c r="AC344" s="58"/>
      <c r="AD344" s="59"/>
      <c r="AE344" s="60"/>
      <c r="AF344" s="61"/>
      <c r="AG344" s="59"/>
      <c r="AH344" s="60"/>
      <c r="AI344" s="62"/>
      <c r="AJ344" s="62"/>
      <c r="AK344" s="63"/>
      <c r="AL344" s="64"/>
      <c r="AP344" s="65">
        <f t="shared" si="113"/>
        <v>1</v>
      </c>
      <c r="AQ344" s="16">
        <f t="shared" si="114"/>
        <v>1</v>
      </c>
      <c r="AR344" s="16">
        <f t="shared" si="115"/>
        <v>1</v>
      </c>
      <c r="AS344" s="66">
        <f t="shared" si="116"/>
        <v>7688.4</v>
      </c>
      <c r="AT344" s="67">
        <f t="shared" si="117"/>
        <v>16565.73</v>
      </c>
      <c r="AU344" s="68">
        <f t="shared" si="80"/>
        <v>12.6</v>
      </c>
      <c r="AV344" s="19">
        <f t="shared" si="118"/>
        <v>2.4195716124355347E-3</v>
      </c>
      <c r="AW344" s="69">
        <f t="shared" si="119"/>
        <v>0</v>
      </c>
      <c r="AY344" s="65">
        <f t="shared" si="120"/>
        <v>0</v>
      </c>
      <c r="AZ344" s="16">
        <f t="shared" si="121"/>
        <v>1</v>
      </c>
      <c r="BA344" s="16">
        <f t="shared" si="122"/>
        <v>0</v>
      </c>
      <c r="BB344" s="70">
        <f t="shared" si="123"/>
        <v>0</v>
      </c>
      <c r="BC344" s="67">
        <f t="shared" si="124"/>
        <v>0</v>
      </c>
      <c r="BD344" s="71">
        <f t="shared" si="125"/>
        <v>0</v>
      </c>
      <c r="BE344" s="19">
        <f t="shared" si="126"/>
        <v>0</v>
      </c>
      <c r="BF344" s="69">
        <f t="shared" si="127"/>
        <v>0</v>
      </c>
      <c r="BH344" s="72">
        <f t="shared" si="128"/>
        <v>16565.73</v>
      </c>
      <c r="BI344" s="73">
        <f t="shared" si="129"/>
        <v>1</v>
      </c>
      <c r="BJ344" s="74">
        <f t="shared" si="130"/>
        <v>1.4727250764297738E-3</v>
      </c>
      <c r="BK344" s="75">
        <f t="shared" si="131"/>
        <v>0</v>
      </c>
      <c r="BM344" s="76">
        <f t="shared" si="132"/>
        <v>1</v>
      </c>
    </row>
    <row r="345" spans="1:72" ht="12.75" customHeight="1" x14ac:dyDescent="0.2">
      <c r="A345" s="47"/>
      <c r="B345" s="48" t="s">
        <v>693</v>
      </c>
      <c r="C345" s="49">
        <v>40000</v>
      </c>
      <c r="D345" s="50">
        <v>13</v>
      </c>
      <c r="E345" s="49">
        <v>29107.23</v>
      </c>
      <c r="F345" s="50" t="s">
        <v>55</v>
      </c>
      <c r="G345" s="51">
        <v>45421</v>
      </c>
      <c r="H345" s="52" t="s">
        <v>56</v>
      </c>
      <c r="I345" s="51">
        <v>45534</v>
      </c>
      <c r="J345" s="52">
        <f t="shared" si="175"/>
        <v>3.7666666666666666</v>
      </c>
      <c r="K345" s="53" t="s">
        <v>694</v>
      </c>
      <c r="L345" s="53">
        <v>46000</v>
      </c>
      <c r="M345" s="54">
        <v>1538.76</v>
      </c>
      <c r="N345" s="77">
        <v>5774.37</v>
      </c>
      <c r="O345" s="54">
        <v>1526.23</v>
      </c>
      <c r="P345" s="54">
        <f t="shared" si="176"/>
        <v>0</v>
      </c>
      <c r="Q345" s="54">
        <f t="shared" si="177"/>
        <v>0</v>
      </c>
      <c r="R345" s="55">
        <f t="shared" si="178"/>
        <v>0</v>
      </c>
      <c r="S345" s="55">
        <f t="shared" si="179"/>
        <v>1</v>
      </c>
      <c r="T345" s="56"/>
      <c r="V345" s="57"/>
      <c r="W345" s="58"/>
      <c r="X345" s="58"/>
      <c r="Y345" s="58"/>
      <c r="Z345" s="58"/>
      <c r="AA345" s="58"/>
      <c r="AB345" s="58"/>
      <c r="AC345" s="58"/>
      <c r="AD345" s="59"/>
      <c r="AE345" s="60"/>
      <c r="AF345" s="61"/>
      <c r="AG345" s="59"/>
      <c r="AH345" s="60"/>
      <c r="AI345" s="62"/>
      <c r="AJ345" s="62"/>
      <c r="AK345" s="63"/>
      <c r="AL345" s="64"/>
      <c r="AP345" s="65">
        <f t="shared" si="113"/>
        <v>1</v>
      </c>
      <c r="AQ345" s="16">
        <f t="shared" si="114"/>
        <v>1</v>
      </c>
      <c r="AR345" s="16">
        <f t="shared" si="115"/>
        <v>1</v>
      </c>
      <c r="AS345" s="66">
        <f t="shared" si="116"/>
        <v>7300.6</v>
      </c>
      <c r="AT345" s="67">
        <f t="shared" si="117"/>
        <v>29107.23</v>
      </c>
      <c r="AU345" s="68">
        <f t="shared" si="80"/>
        <v>3.7666666666666666</v>
      </c>
      <c r="AV345" s="19">
        <f t="shared" si="118"/>
        <v>4.2513687851143279E-3</v>
      </c>
      <c r="AW345" s="69">
        <f t="shared" si="119"/>
        <v>0</v>
      </c>
      <c r="AY345" s="65">
        <f t="shared" si="120"/>
        <v>0</v>
      </c>
      <c r="AZ345" s="16">
        <f t="shared" si="121"/>
        <v>1</v>
      </c>
      <c r="BA345" s="16">
        <f t="shared" si="122"/>
        <v>0</v>
      </c>
      <c r="BB345" s="70">
        <f t="shared" si="123"/>
        <v>0</v>
      </c>
      <c r="BC345" s="67">
        <f t="shared" si="124"/>
        <v>0</v>
      </c>
      <c r="BD345" s="71">
        <f t="shared" si="125"/>
        <v>0</v>
      </c>
      <c r="BE345" s="19">
        <f t="shared" si="126"/>
        <v>0</v>
      </c>
      <c r="BF345" s="69">
        <f t="shared" si="127"/>
        <v>0</v>
      </c>
      <c r="BH345" s="72">
        <f t="shared" si="128"/>
        <v>29107.23</v>
      </c>
      <c r="BI345" s="73">
        <f t="shared" si="129"/>
        <v>1</v>
      </c>
      <c r="BJ345" s="74">
        <f t="shared" si="130"/>
        <v>2.5876884101339939E-3</v>
      </c>
      <c r="BK345" s="75">
        <f t="shared" si="131"/>
        <v>0</v>
      </c>
      <c r="BM345" s="76">
        <f t="shared" si="132"/>
        <v>1</v>
      </c>
    </row>
    <row r="346" spans="1:72" ht="12.75" customHeight="1" x14ac:dyDescent="0.2">
      <c r="A346" s="47"/>
      <c r="B346" s="48" t="s">
        <v>695</v>
      </c>
      <c r="C346" s="49">
        <v>50000</v>
      </c>
      <c r="D346" s="50">
        <v>13</v>
      </c>
      <c r="E346" s="49">
        <v>37310.370000000003</v>
      </c>
      <c r="F346" s="50" t="s">
        <v>55</v>
      </c>
      <c r="G346" s="51">
        <v>45432</v>
      </c>
      <c r="H346" s="52" t="s">
        <v>56</v>
      </c>
      <c r="I346" s="51">
        <v>45462</v>
      </c>
      <c r="J346" s="52">
        <f t="shared" si="175"/>
        <v>1</v>
      </c>
      <c r="K346" s="53" t="s">
        <v>696</v>
      </c>
      <c r="L346" s="53">
        <v>50000</v>
      </c>
      <c r="M346" s="54">
        <v>1837.83</v>
      </c>
      <c r="N346" s="77">
        <v>7464.4199999999992</v>
      </c>
      <c r="O346" s="54">
        <v>1913.38</v>
      </c>
      <c r="P346" s="54">
        <f t="shared" si="176"/>
        <v>0</v>
      </c>
      <c r="Q346" s="54">
        <f t="shared" si="177"/>
        <v>0</v>
      </c>
      <c r="R346" s="55">
        <f t="shared" si="178"/>
        <v>0</v>
      </c>
      <c r="S346" s="55">
        <f t="shared" si="179"/>
        <v>1</v>
      </c>
      <c r="T346" s="56"/>
      <c r="V346" s="57"/>
      <c r="W346" s="58"/>
      <c r="X346" s="58"/>
      <c r="Y346" s="58"/>
      <c r="Z346" s="58"/>
      <c r="AA346" s="58"/>
      <c r="AB346" s="58"/>
      <c r="AC346" s="58"/>
      <c r="AD346" s="59"/>
      <c r="AE346" s="60"/>
      <c r="AF346" s="61"/>
      <c r="AG346" s="59"/>
      <c r="AH346" s="60"/>
      <c r="AI346" s="62"/>
      <c r="AJ346" s="62"/>
      <c r="AK346" s="63"/>
      <c r="AL346" s="64"/>
      <c r="AP346" s="65">
        <f t="shared" si="113"/>
        <v>1</v>
      </c>
      <c r="AQ346" s="16">
        <f t="shared" si="114"/>
        <v>1</v>
      </c>
      <c r="AR346" s="16">
        <f t="shared" si="115"/>
        <v>1</v>
      </c>
      <c r="AS346" s="66">
        <f t="shared" si="116"/>
        <v>9377.7999999999993</v>
      </c>
      <c r="AT346" s="67">
        <f t="shared" si="117"/>
        <v>37310.370000000003</v>
      </c>
      <c r="AU346" s="68">
        <f t="shared" si="80"/>
        <v>1</v>
      </c>
      <c r="AV346" s="19">
        <f t="shared" si="118"/>
        <v>5.4495100488458044E-3</v>
      </c>
      <c r="AW346" s="69">
        <f t="shared" si="119"/>
        <v>0</v>
      </c>
      <c r="AY346" s="65">
        <f t="shared" si="120"/>
        <v>0</v>
      </c>
      <c r="AZ346" s="16">
        <f t="shared" si="121"/>
        <v>1</v>
      </c>
      <c r="BA346" s="16">
        <f t="shared" si="122"/>
        <v>0</v>
      </c>
      <c r="BB346" s="70">
        <f t="shared" si="123"/>
        <v>0</v>
      </c>
      <c r="BC346" s="67">
        <f t="shared" si="124"/>
        <v>0</v>
      </c>
      <c r="BD346" s="71">
        <f t="shared" si="125"/>
        <v>0</v>
      </c>
      <c r="BE346" s="19">
        <f t="shared" si="126"/>
        <v>0</v>
      </c>
      <c r="BF346" s="69">
        <f t="shared" si="127"/>
        <v>0</v>
      </c>
      <c r="BH346" s="72">
        <f t="shared" si="128"/>
        <v>37310.370000000003</v>
      </c>
      <c r="BI346" s="73">
        <f t="shared" si="129"/>
        <v>1</v>
      </c>
      <c r="BJ346" s="74">
        <f t="shared" si="130"/>
        <v>3.316963243386989E-3</v>
      </c>
      <c r="BK346" s="75">
        <f t="shared" si="131"/>
        <v>0</v>
      </c>
      <c r="BM346" s="76">
        <f t="shared" si="132"/>
        <v>1</v>
      </c>
    </row>
    <row r="347" spans="1:72" ht="12.75" customHeight="1" x14ac:dyDescent="0.2">
      <c r="A347" s="47"/>
      <c r="B347" s="48" t="s">
        <v>697</v>
      </c>
      <c r="C347" s="49">
        <v>40000</v>
      </c>
      <c r="D347" s="50">
        <v>13</v>
      </c>
      <c r="E347" s="49">
        <v>32682.31</v>
      </c>
      <c r="F347" s="50" t="s">
        <v>63</v>
      </c>
      <c r="G347" s="51">
        <v>45441</v>
      </c>
      <c r="H347" s="52" t="s">
        <v>56</v>
      </c>
      <c r="I347" s="51">
        <v>45623</v>
      </c>
      <c r="J347" s="52">
        <f t="shared" si="175"/>
        <v>6.0666666666666664</v>
      </c>
      <c r="K347" s="53" t="s">
        <v>698</v>
      </c>
      <c r="L347" s="53">
        <v>44950</v>
      </c>
      <c r="M347" s="54">
        <v>509.29</v>
      </c>
      <c r="N347" s="54">
        <v>6857.2199999999993</v>
      </c>
      <c r="O347" s="54">
        <v>2821.37</v>
      </c>
      <c r="P347" s="54">
        <f t="shared" si="176"/>
        <v>0</v>
      </c>
      <c r="Q347" s="54">
        <f t="shared" si="177"/>
        <v>0</v>
      </c>
      <c r="R347" s="55">
        <f t="shared" si="178"/>
        <v>0</v>
      </c>
      <c r="S347" s="55">
        <f t="shared" si="179"/>
        <v>1</v>
      </c>
      <c r="T347" s="56"/>
      <c r="V347" s="57"/>
      <c r="W347" s="58"/>
      <c r="X347" s="58"/>
      <c r="Y347" s="58"/>
      <c r="Z347" s="58"/>
      <c r="AA347" s="58"/>
      <c r="AB347" s="58"/>
      <c r="AC347" s="58"/>
      <c r="AD347" s="59"/>
      <c r="AE347" s="60"/>
      <c r="AF347" s="61"/>
      <c r="AG347" s="59"/>
      <c r="AH347" s="60"/>
      <c r="AI347" s="62"/>
      <c r="AJ347" s="62"/>
      <c r="AK347" s="63"/>
      <c r="AL347" s="64"/>
      <c r="AP347" s="65">
        <f t="shared" si="113"/>
        <v>0</v>
      </c>
      <c r="AQ347" s="16">
        <f t="shared" si="114"/>
        <v>1</v>
      </c>
      <c r="AR347" s="16">
        <f t="shared" si="115"/>
        <v>0</v>
      </c>
      <c r="AS347" s="66">
        <f t="shared" si="116"/>
        <v>0</v>
      </c>
      <c r="AT347" s="67">
        <f t="shared" si="117"/>
        <v>0</v>
      </c>
      <c r="AU347" s="68">
        <f t="shared" si="80"/>
        <v>0</v>
      </c>
      <c r="AV347" s="19">
        <f t="shared" si="118"/>
        <v>0</v>
      </c>
      <c r="AW347" s="69">
        <f t="shared" si="119"/>
        <v>0</v>
      </c>
      <c r="AY347" s="65">
        <f t="shared" si="120"/>
        <v>1</v>
      </c>
      <c r="AZ347" s="16">
        <f t="shared" si="121"/>
        <v>1</v>
      </c>
      <c r="BA347" s="16">
        <f t="shared" si="122"/>
        <v>1</v>
      </c>
      <c r="BB347" s="70">
        <f t="shared" si="123"/>
        <v>9678.59</v>
      </c>
      <c r="BC347" s="67">
        <f t="shared" si="124"/>
        <v>32682.31</v>
      </c>
      <c r="BD347" s="71">
        <f t="shared" si="125"/>
        <v>6.0666666666666664</v>
      </c>
      <c r="BE347" s="19">
        <f t="shared" si="126"/>
        <v>7.4247653687238074E-3</v>
      </c>
      <c r="BF347" s="69">
        <f t="shared" si="127"/>
        <v>0</v>
      </c>
      <c r="BH347" s="72">
        <f t="shared" si="128"/>
        <v>32682.31</v>
      </c>
      <c r="BI347" s="73">
        <f t="shared" si="129"/>
        <v>1</v>
      </c>
      <c r="BJ347" s="74">
        <f t="shared" si="130"/>
        <v>2.9055198589287381E-3</v>
      </c>
      <c r="BK347" s="75">
        <f t="shared" si="131"/>
        <v>0</v>
      </c>
      <c r="BM347" s="76">
        <f t="shared" si="132"/>
        <v>1</v>
      </c>
    </row>
    <row r="348" spans="1:72" ht="12.75" customHeight="1" x14ac:dyDescent="0.2">
      <c r="A348" s="47"/>
      <c r="B348" s="48" t="s">
        <v>699</v>
      </c>
      <c r="C348" s="49">
        <v>50000</v>
      </c>
      <c r="D348" s="50">
        <v>13</v>
      </c>
      <c r="E348" s="49">
        <v>39612.300000000003</v>
      </c>
      <c r="F348" s="50" t="s">
        <v>63</v>
      </c>
      <c r="G348" s="51">
        <v>45385</v>
      </c>
      <c r="H348" s="52" t="s">
        <v>56</v>
      </c>
      <c r="I348" s="51">
        <v>45623</v>
      </c>
      <c r="J348" s="52">
        <f t="shared" si="175"/>
        <v>7.9333333333333336</v>
      </c>
      <c r="K348" s="53" t="s">
        <v>700</v>
      </c>
      <c r="L348" s="53">
        <v>50000</v>
      </c>
      <c r="M348" s="54">
        <v>1248.47</v>
      </c>
      <c r="N348" s="54">
        <v>11532.180000000002</v>
      </c>
      <c r="O348" s="54">
        <v>1791</v>
      </c>
      <c r="P348" s="54">
        <f t="shared" si="176"/>
        <v>0</v>
      </c>
      <c r="Q348" s="54">
        <f t="shared" si="177"/>
        <v>4183.9500000000044</v>
      </c>
      <c r="R348" s="55">
        <f t="shared" si="178"/>
        <v>0.10562249604289586</v>
      </c>
      <c r="S348" s="55">
        <f t="shared" si="179"/>
        <v>0.89437750395710414</v>
      </c>
      <c r="T348" s="56"/>
      <c r="V348" s="57"/>
      <c r="W348" s="58"/>
      <c r="X348" s="58"/>
      <c r="Y348" s="58"/>
      <c r="Z348" s="58"/>
      <c r="AA348" s="58"/>
      <c r="AB348" s="58"/>
      <c r="AC348" s="58"/>
      <c r="AD348" s="59"/>
      <c r="AE348" s="60"/>
      <c r="AF348" s="61"/>
      <c r="AG348" s="59"/>
      <c r="AH348" s="60"/>
      <c r="AI348" s="62"/>
      <c r="AJ348" s="62"/>
      <c r="AK348" s="63"/>
      <c r="AL348" s="64"/>
      <c r="AP348" s="65">
        <f t="shared" si="113"/>
        <v>0</v>
      </c>
      <c r="AQ348" s="16">
        <f t="shared" si="114"/>
        <v>1</v>
      </c>
      <c r="AR348" s="16">
        <f t="shared" si="115"/>
        <v>0</v>
      </c>
      <c r="AS348" s="66">
        <f t="shared" si="116"/>
        <v>0</v>
      </c>
      <c r="AT348" s="67">
        <f t="shared" si="117"/>
        <v>0</v>
      </c>
      <c r="AU348" s="68">
        <f t="shared" si="80"/>
        <v>0</v>
      </c>
      <c r="AV348" s="19">
        <f t="shared" si="118"/>
        <v>0</v>
      </c>
      <c r="AW348" s="69">
        <f t="shared" si="119"/>
        <v>0</v>
      </c>
      <c r="AY348" s="65">
        <f t="shared" si="120"/>
        <v>1</v>
      </c>
      <c r="AZ348" s="16">
        <f t="shared" si="121"/>
        <v>1</v>
      </c>
      <c r="BA348" s="16">
        <f t="shared" si="122"/>
        <v>1</v>
      </c>
      <c r="BB348" s="70">
        <f t="shared" si="123"/>
        <v>13323.180000000002</v>
      </c>
      <c r="BC348" s="67">
        <f t="shared" si="124"/>
        <v>39612.300000000003</v>
      </c>
      <c r="BD348" s="71">
        <f t="shared" si="125"/>
        <v>7.9333333333333336</v>
      </c>
      <c r="BE348" s="19">
        <f t="shared" si="126"/>
        <v>8.9991201116291376E-3</v>
      </c>
      <c r="BF348" s="69">
        <f t="shared" si="127"/>
        <v>9.5050952838009314E-4</v>
      </c>
      <c r="BH348" s="72">
        <f t="shared" si="128"/>
        <v>39612.300000000003</v>
      </c>
      <c r="BI348" s="73">
        <f t="shared" si="129"/>
        <v>1</v>
      </c>
      <c r="BJ348" s="74">
        <f t="shared" si="130"/>
        <v>3.5216092224767113E-3</v>
      </c>
      <c r="BK348" s="75">
        <f t="shared" si="131"/>
        <v>3.71961156165672E-4</v>
      </c>
      <c r="BM348" s="76">
        <f t="shared" si="132"/>
        <v>1</v>
      </c>
    </row>
    <row r="349" spans="1:72" ht="12.75" customHeight="1" x14ac:dyDescent="0.2">
      <c r="A349" s="81"/>
      <c r="B349" s="82" t="s">
        <v>701</v>
      </c>
      <c r="C349" s="49">
        <v>24800</v>
      </c>
      <c r="D349" s="50">
        <v>13</v>
      </c>
      <c r="E349" s="49">
        <v>17801.439999999999</v>
      </c>
      <c r="F349" s="83" t="s">
        <v>63</v>
      </c>
      <c r="G349" s="51">
        <v>45439</v>
      </c>
      <c r="H349" s="84" t="s">
        <v>56</v>
      </c>
      <c r="I349" s="51">
        <v>46017</v>
      </c>
      <c r="J349" s="52">
        <f t="shared" si="175"/>
        <v>19.266666666666666</v>
      </c>
      <c r="K349" s="53" t="s">
        <v>702</v>
      </c>
      <c r="L349" s="53">
        <v>30000</v>
      </c>
      <c r="M349" s="85">
        <v>1374.32</v>
      </c>
      <c r="N349" s="85">
        <v>12370.93</v>
      </c>
      <c r="O349" s="85">
        <v>1148</v>
      </c>
      <c r="P349" s="85">
        <f t="shared" si="176"/>
        <v>0</v>
      </c>
      <c r="Q349" s="85">
        <f t="shared" si="177"/>
        <v>2694.6899999999987</v>
      </c>
      <c r="R349" s="55">
        <f t="shared" si="178"/>
        <v>0.15137483259781226</v>
      </c>
      <c r="S349" s="55">
        <f t="shared" si="179"/>
        <v>0.84862516740218774</v>
      </c>
      <c r="T349" s="56"/>
      <c r="U349" s="5"/>
      <c r="V349" s="57"/>
      <c r="W349" s="58"/>
      <c r="X349" s="58"/>
      <c r="Y349" s="58"/>
      <c r="Z349" s="58"/>
      <c r="AA349" s="58"/>
      <c r="AB349" s="58"/>
      <c r="AC349" s="58"/>
      <c r="AD349" s="59"/>
      <c r="AE349" s="60"/>
      <c r="AF349" s="58"/>
      <c r="AG349" s="59"/>
      <c r="AH349" s="60"/>
      <c r="AI349" s="62"/>
      <c r="AJ349" s="62"/>
      <c r="AK349" s="63"/>
      <c r="AL349" s="86"/>
      <c r="AM349" s="5"/>
      <c r="AN349" s="5"/>
      <c r="AO349" s="5"/>
      <c r="AP349" s="65">
        <f t="shared" si="113"/>
        <v>0</v>
      </c>
      <c r="AQ349" s="16">
        <f t="shared" si="114"/>
        <v>1</v>
      </c>
      <c r="AR349" s="16">
        <f t="shared" si="115"/>
        <v>0</v>
      </c>
      <c r="AS349" s="66">
        <f t="shared" si="116"/>
        <v>0</v>
      </c>
      <c r="AT349" s="87">
        <f t="shared" si="117"/>
        <v>0</v>
      </c>
      <c r="AU349" s="88">
        <f t="shared" si="80"/>
        <v>0</v>
      </c>
      <c r="AV349" s="19">
        <f t="shared" si="118"/>
        <v>0</v>
      </c>
      <c r="AW349" s="89">
        <f t="shared" si="119"/>
        <v>0</v>
      </c>
      <c r="AX349" s="5"/>
      <c r="AY349" s="65">
        <f t="shared" si="120"/>
        <v>1</v>
      </c>
      <c r="AZ349" s="16">
        <f t="shared" si="121"/>
        <v>1</v>
      </c>
      <c r="BA349" s="16">
        <f t="shared" si="122"/>
        <v>1</v>
      </c>
      <c r="BB349" s="70">
        <f t="shared" si="123"/>
        <v>13518.93</v>
      </c>
      <c r="BC349" s="87">
        <f t="shared" si="124"/>
        <v>17801.439999999999</v>
      </c>
      <c r="BD349" s="71">
        <f t="shared" si="125"/>
        <v>19.266666666666666</v>
      </c>
      <c r="BE349" s="19">
        <f t="shared" si="126"/>
        <v>4.0441301494727492E-3</v>
      </c>
      <c r="BF349" s="89">
        <f t="shared" si="127"/>
        <v>6.1217952438020291E-4</v>
      </c>
      <c r="BG349" s="5"/>
      <c r="BH349" s="90">
        <f t="shared" si="128"/>
        <v>17801.439999999999</v>
      </c>
      <c r="BI349" s="91">
        <f t="shared" si="129"/>
        <v>1</v>
      </c>
      <c r="BJ349" s="74">
        <f t="shared" si="130"/>
        <v>1.5825820585365106E-3</v>
      </c>
      <c r="BK349" s="92">
        <f t="shared" si="131"/>
        <v>2.3956309418326542E-4</v>
      </c>
      <c r="BL349" s="5"/>
      <c r="BM349" s="76">
        <f t="shared" si="132"/>
        <v>1</v>
      </c>
      <c r="BN349" s="5"/>
      <c r="BO349" s="5"/>
      <c r="BP349" s="5"/>
      <c r="BQ349" s="5"/>
      <c r="BR349" s="5"/>
      <c r="BS349" s="5"/>
      <c r="BT349" s="5"/>
    </row>
    <row r="350" spans="1:72" ht="12.75" customHeight="1" x14ac:dyDescent="0.2">
      <c r="A350" s="47"/>
      <c r="B350" s="48" t="s">
        <v>703</v>
      </c>
      <c r="C350" s="49">
        <v>25000</v>
      </c>
      <c r="D350" s="50">
        <v>13</v>
      </c>
      <c r="E350" s="49">
        <v>16722.810000000001</v>
      </c>
      <c r="F350" s="50" t="s">
        <v>63</v>
      </c>
      <c r="G350" s="51">
        <v>45383</v>
      </c>
      <c r="H350" s="52" t="s">
        <v>56</v>
      </c>
      <c r="I350" s="51">
        <v>45804</v>
      </c>
      <c r="J350" s="52">
        <f t="shared" si="175"/>
        <v>14.033333333333333</v>
      </c>
      <c r="K350" s="53" t="s">
        <v>704</v>
      </c>
      <c r="L350" s="53">
        <v>45000</v>
      </c>
      <c r="M350" s="54">
        <v>1000.39</v>
      </c>
      <c r="N350" s="54">
        <v>7137.31</v>
      </c>
      <c r="O350" s="54">
        <v>177.78</v>
      </c>
      <c r="P350" s="54">
        <f t="shared" si="176"/>
        <v>0</v>
      </c>
      <c r="Q350" s="54">
        <f t="shared" si="177"/>
        <v>0</v>
      </c>
      <c r="R350" s="55">
        <f t="shared" si="178"/>
        <v>0</v>
      </c>
      <c r="S350" s="55">
        <f t="shared" si="179"/>
        <v>1</v>
      </c>
      <c r="T350" s="56"/>
      <c r="V350" s="57"/>
      <c r="W350" s="58"/>
      <c r="X350" s="58"/>
      <c r="Y350" s="58"/>
      <c r="Z350" s="58"/>
      <c r="AA350" s="58"/>
      <c r="AB350" s="58"/>
      <c r="AC350" s="58"/>
      <c r="AD350" s="59"/>
      <c r="AE350" s="60"/>
      <c r="AF350" s="61"/>
      <c r="AG350" s="59"/>
      <c r="AH350" s="60"/>
      <c r="AI350" s="62"/>
      <c r="AJ350" s="62"/>
      <c r="AK350" s="63"/>
      <c r="AL350" s="64"/>
      <c r="AP350" s="65">
        <f t="shared" si="113"/>
        <v>0</v>
      </c>
      <c r="AQ350" s="16">
        <f t="shared" si="114"/>
        <v>1</v>
      </c>
      <c r="AR350" s="16">
        <f t="shared" si="115"/>
        <v>0</v>
      </c>
      <c r="AS350" s="66">
        <f t="shared" si="116"/>
        <v>0</v>
      </c>
      <c r="AT350" s="67">
        <f t="shared" si="117"/>
        <v>0</v>
      </c>
      <c r="AU350" s="68">
        <f t="shared" si="80"/>
        <v>0</v>
      </c>
      <c r="AV350" s="19">
        <f t="shared" si="118"/>
        <v>0</v>
      </c>
      <c r="AW350" s="69">
        <f t="shared" si="119"/>
        <v>0</v>
      </c>
      <c r="AY350" s="65">
        <f t="shared" si="120"/>
        <v>1</v>
      </c>
      <c r="AZ350" s="16">
        <f t="shared" si="121"/>
        <v>1</v>
      </c>
      <c r="BA350" s="16">
        <f t="shared" si="122"/>
        <v>1</v>
      </c>
      <c r="BB350" s="70">
        <f t="shared" si="123"/>
        <v>7315.09</v>
      </c>
      <c r="BC350" s="67">
        <f t="shared" si="124"/>
        <v>16722.810000000001</v>
      </c>
      <c r="BD350" s="71">
        <f t="shared" si="125"/>
        <v>14.033333333333333</v>
      </c>
      <c r="BE350" s="19">
        <f t="shared" si="126"/>
        <v>3.7990870460425895E-3</v>
      </c>
      <c r="BF350" s="69">
        <f t="shared" si="127"/>
        <v>0</v>
      </c>
      <c r="BH350" s="72">
        <f t="shared" si="128"/>
        <v>16722.810000000001</v>
      </c>
      <c r="BI350" s="73">
        <f t="shared" si="129"/>
        <v>1</v>
      </c>
      <c r="BJ350" s="74">
        <f t="shared" si="130"/>
        <v>1.4866897888212948E-3</v>
      </c>
      <c r="BK350" s="75">
        <f t="shared" si="131"/>
        <v>0</v>
      </c>
      <c r="BM350" s="76">
        <f t="shared" si="132"/>
        <v>1</v>
      </c>
    </row>
    <row r="351" spans="1:72" ht="12.75" customHeight="1" x14ac:dyDescent="0.2">
      <c r="A351" s="47"/>
      <c r="B351" s="48" t="s">
        <v>705</v>
      </c>
      <c r="C351" s="49">
        <v>39995</v>
      </c>
      <c r="D351" s="50">
        <v>13</v>
      </c>
      <c r="E351" s="49">
        <v>29594.880000000001</v>
      </c>
      <c r="F351" s="50" t="s">
        <v>55</v>
      </c>
      <c r="G351" s="51">
        <v>45454</v>
      </c>
      <c r="H351" s="52" t="s">
        <v>56</v>
      </c>
      <c r="I351" s="51">
        <v>45656</v>
      </c>
      <c r="J351" s="52">
        <f t="shared" si="175"/>
        <v>6.7333333333333334</v>
      </c>
      <c r="K351" s="53" t="s">
        <v>706</v>
      </c>
      <c r="L351" s="53">
        <v>47000</v>
      </c>
      <c r="M351" s="54">
        <v>1404.65</v>
      </c>
      <c r="N351" s="54">
        <v>3223.7299999999996</v>
      </c>
      <c r="O351" s="54">
        <v>1179.1099999999999</v>
      </c>
      <c r="P351" s="54">
        <f t="shared" si="176"/>
        <v>0</v>
      </c>
      <c r="Q351" s="54">
        <f t="shared" si="177"/>
        <v>0</v>
      </c>
      <c r="R351" s="55">
        <f t="shared" si="178"/>
        <v>0</v>
      </c>
      <c r="S351" s="55">
        <f t="shared" si="179"/>
        <v>1</v>
      </c>
      <c r="T351" s="56"/>
      <c r="V351" s="57"/>
      <c r="W351" s="58"/>
      <c r="X351" s="58"/>
      <c r="Y351" s="58"/>
      <c r="Z351" s="58"/>
      <c r="AA351" s="58"/>
      <c r="AB351" s="58"/>
      <c r="AC351" s="58"/>
      <c r="AD351" s="59"/>
      <c r="AE351" s="60"/>
      <c r="AF351" s="61"/>
      <c r="AG351" s="59"/>
      <c r="AH351" s="60"/>
      <c r="AI351" s="62"/>
      <c r="AJ351" s="62"/>
      <c r="AK351" s="63"/>
      <c r="AL351" s="64"/>
      <c r="AP351" s="65">
        <f t="shared" si="113"/>
        <v>1</v>
      </c>
      <c r="AQ351" s="16">
        <f t="shared" si="114"/>
        <v>1</v>
      </c>
      <c r="AR351" s="16">
        <f t="shared" si="115"/>
        <v>1</v>
      </c>
      <c r="AS351" s="66">
        <f t="shared" si="116"/>
        <v>4402.8399999999992</v>
      </c>
      <c r="AT351" s="67">
        <f t="shared" si="117"/>
        <v>29594.880000000001</v>
      </c>
      <c r="AU351" s="68">
        <f t="shared" si="80"/>
        <v>6.7333333333333334</v>
      </c>
      <c r="AV351" s="19">
        <f t="shared" si="118"/>
        <v>4.3225943874152344E-3</v>
      </c>
      <c r="AW351" s="69">
        <f t="shared" si="119"/>
        <v>0</v>
      </c>
      <c r="AY351" s="65">
        <f t="shared" si="120"/>
        <v>0</v>
      </c>
      <c r="AZ351" s="16">
        <f t="shared" si="121"/>
        <v>1</v>
      </c>
      <c r="BA351" s="16">
        <f t="shared" si="122"/>
        <v>0</v>
      </c>
      <c r="BB351" s="70">
        <f t="shared" si="123"/>
        <v>0</v>
      </c>
      <c r="BC351" s="67">
        <f t="shared" si="124"/>
        <v>0</v>
      </c>
      <c r="BD351" s="71">
        <f t="shared" si="125"/>
        <v>0</v>
      </c>
      <c r="BE351" s="19">
        <f t="shared" si="126"/>
        <v>0</v>
      </c>
      <c r="BF351" s="69">
        <f t="shared" si="127"/>
        <v>0</v>
      </c>
      <c r="BH351" s="72">
        <f t="shared" si="128"/>
        <v>29594.880000000001</v>
      </c>
      <c r="BI351" s="73">
        <f t="shared" si="129"/>
        <v>1</v>
      </c>
      <c r="BJ351" s="74">
        <f t="shared" si="130"/>
        <v>2.6310414276901764E-3</v>
      </c>
      <c r="BK351" s="75">
        <f t="shared" si="131"/>
        <v>0</v>
      </c>
      <c r="BM351" s="76">
        <f t="shared" si="132"/>
        <v>1</v>
      </c>
    </row>
    <row r="352" spans="1:72" ht="12.75" customHeight="1" x14ac:dyDescent="0.2">
      <c r="A352" s="47"/>
      <c r="B352" s="48" t="s">
        <v>707</v>
      </c>
      <c r="C352" s="49">
        <v>51510</v>
      </c>
      <c r="D352" s="50">
        <v>13</v>
      </c>
      <c r="E352" s="49">
        <v>39988.14</v>
      </c>
      <c r="F352" s="50" t="s">
        <v>55</v>
      </c>
      <c r="G352" s="51">
        <v>45468</v>
      </c>
      <c r="H352" s="52" t="s">
        <v>56</v>
      </c>
      <c r="I352" s="51">
        <v>45743</v>
      </c>
      <c r="J352" s="52">
        <f t="shared" si="175"/>
        <v>9.1666666666666661</v>
      </c>
      <c r="K352" s="53" t="s">
        <v>708</v>
      </c>
      <c r="L352" s="53">
        <v>55000</v>
      </c>
      <c r="M352" s="54">
        <v>726.74</v>
      </c>
      <c r="N352" s="54">
        <v>7806.69</v>
      </c>
      <c r="O352" s="54">
        <v>1502.21</v>
      </c>
      <c r="P352" s="54">
        <f t="shared" si="176"/>
        <v>0</v>
      </c>
      <c r="Q352" s="54">
        <f t="shared" si="177"/>
        <v>0</v>
      </c>
      <c r="R352" s="55">
        <f t="shared" si="178"/>
        <v>0</v>
      </c>
      <c r="S352" s="55">
        <f t="shared" si="179"/>
        <v>1</v>
      </c>
      <c r="T352" s="56"/>
      <c r="V352" s="57"/>
      <c r="W352" s="58"/>
      <c r="X352" s="58"/>
      <c r="Y352" s="58"/>
      <c r="Z352" s="58"/>
      <c r="AA352" s="58"/>
      <c r="AB352" s="58"/>
      <c r="AC352" s="58"/>
      <c r="AD352" s="59"/>
      <c r="AE352" s="60"/>
      <c r="AF352" s="61"/>
      <c r="AG352" s="59"/>
      <c r="AH352" s="60"/>
      <c r="AI352" s="62"/>
      <c r="AJ352" s="62"/>
      <c r="AK352" s="63"/>
      <c r="AL352" s="64"/>
      <c r="AP352" s="65">
        <f t="shared" si="113"/>
        <v>1</v>
      </c>
      <c r="AQ352" s="16">
        <f t="shared" si="114"/>
        <v>1</v>
      </c>
      <c r="AR352" s="16">
        <f t="shared" si="115"/>
        <v>1</v>
      </c>
      <c r="AS352" s="66">
        <f t="shared" si="116"/>
        <v>9308.9</v>
      </c>
      <c r="AT352" s="67">
        <f t="shared" si="117"/>
        <v>39988.14</v>
      </c>
      <c r="AU352" s="68">
        <f t="shared" si="80"/>
        <v>9.1666666666666661</v>
      </c>
      <c r="AV352" s="19">
        <f t="shared" si="118"/>
        <v>5.8406220781153564E-3</v>
      </c>
      <c r="AW352" s="69">
        <f t="shared" si="119"/>
        <v>0</v>
      </c>
      <c r="AY352" s="65">
        <f t="shared" si="120"/>
        <v>0</v>
      </c>
      <c r="AZ352" s="16">
        <f t="shared" si="121"/>
        <v>1</v>
      </c>
      <c r="BA352" s="16">
        <f t="shared" si="122"/>
        <v>0</v>
      </c>
      <c r="BB352" s="70">
        <f t="shared" si="123"/>
        <v>0</v>
      </c>
      <c r="BC352" s="67">
        <f t="shared" si="124"/>
        <v>0</v>
      </c>
      <c r="BD352" s="71">
        <f t="shared" si="125"/>
        <v>0</v>
      </c>
      <c r="BE352" s="19">
        <f t="shared" si="126"/>
        <v>0</v>
      </c>
      <c r="BF352" s="69">
        <f t="shared" si="127"/>
        <v>0</v>
      </c>
      <c r="BH352" s="72">
        <f t="shared" si="128"/>
        <v>39988.14</v>
      </c>
      <c r="BI352" s="73">
        <f t="shared" si="129"/>
        <v>1</v>
      </c>
      <c r="BJ352" s="74">
        <f t="shared" si="130"/>
        <v>3.5550221172133373E-3</v>
      </c>
      <c r="BK352" s="75">
        <f t="shared" si="131"/>
        <v>0</v>
      </c>
      <c r="BM352" s="76">
        <f t="shared" si="132"/>
        <v>1</v>
      </c>
    </row>
    <row r="353" spans="1:65" ht="12.75" customHeight="1" x14ac:dyDescent="0.2">
      <c r="A353" s="47"/>
      <c r="B353" s="48" t="s">
        <v>709</v>
      </c>
      <c r="C353" s="49">
        <v>40000</v>
      </c>
      <c r="D353" s="50">
        <v>13</v>
      </c>
      <c r="E353" s="49">
        <v>33133.75</v>
      </c>
      <c r="F353" s="50" t="s">
        <v>63</v>
      </c>
      <c r="G353" s="51">
        <v>45373</v>
      </c>
      <c r="H353" s="52" t="s">
        <v>56</v>
      </c>
      <c r="I353" s="51">
        <v>45534</v>
      </c>
      <c r="J353" s="52">
        <f t="shared" si="175"/>
        <v>5.3666666666666663</v>
      </c>
      <c r="K353" s="53" t="s">
        <v>710</v>
      </c>
      <c r="L353" s="53">
        <v>46000</v>
      </c>
      <c r="M353" s="54">
        <v>1823.17</v>
      </c>
      <c r="N353" s="77">
        <v>9881.2199999999993</v>
      </c>
      <c r="O353" s="54">
        <v>1485.23</v>
      </c>
      <c r="P353" s="54">
        <f t="shared" si="176"/>
        <v>0</v>
      </c>
      <c r="Q353" s="54">
        <f t="shared" si="177"/>
        <v>323.36999999999944</v>
      </c>
      <c r="R353" s="55">
        <f t="shared" si="178"/>
        <v>9.7595352171124441E-3</v>
      </c>
      <c r="S353" s="55">
        <f t="shared" si="179"/>
        <v>0.99024046478288752</v>
      </c>
      <c r="T353" s="56"/>
      <c r="V353" s="57"/>
      <c r="W353" s="58"/>
      <c r="X353" s="58"/>
      <c r="Y353" s="58"/>
      <c r="Z353" s="58"/>
      <c r="AA353" s="58"/>
      <c r="AB353" s="58"/>
      <c r="AC353" s="58"/>
      <c r="AD353" s="59"/>
      <c r="AE353" s="60"/>
      <c r="AF353" s="61"/>
      <c r="AG353" s="59"/>
      <c r="AH353" s="60"/>
      <c r="AI353" s="62"/>
      <c r="AJ353" s="62"/>
      <c r="AK353" s="63"/>
      <c r="AL353" s="64"/>
      <c r="AP353" s="65">
        <f t="shared" si="113"/>
        <v>0</v>
      </c>
      <c r="AQ353" s="16">
        <f t="shared" si="114"/>
        <v>1</v>
      </c>
      <c r="AR353" s="16">
        <f t="shared" si="115"/>
        <v>0</v>
      </c>
      <c r="AS353" s="66">
        <f t="shared" si="116"/>
        <v>0</v>
      </c>
      <c r="AT353" s="67">
        <f t="shared" si="117"/>
        <v>0</v>
      </c>
      <c r="AU353" s="68">
        <f t="shared" si="80"/>
        <v>0</v>
      </c>
      <c r="AV353" s="19">
        <f t="shared" si="118"/>
        <v>0</v>
      </c>
      <c r="AW353" s="69">
        <f t="shared" si="119"/>
        <v>0</v>
      </c>
      <c r="AY353" s="65">
        <f t="shared" si="120"/>
        <v>1</v>
      </c>
      <c r="AZ353" s="16">
        <f t="shared" si="121"/>
        <v>1</v>
      </c>
      <c r="BA353" s="16">
        <f t="shared" si="122"/>
        <v>1</v>
      </c>
      <c r="BB353" s="70">
        <f t="shared" si="123"/>
        <v>11366.449999999999</v>
      </c>
      <c r="BC353" s="67">
        <f t="shared" si="124"/>
        <v>33133.75</v>
      </c>
      <c r="BD353" s="71">
        <f t="shared" si="125"/>
        <v>5.3666666666666663</v>
      </c>
      <c r="BE353" s="19">
        <f t="shared" si="126"/>
        <v>7.5273234828245753E-3</v>
      </c>
      <c r="BF353" s="69">
        <f t="shared" si="127"/>
        <v>7.3463178621223943E-5</v>
      </c>
      <c r="BH353" s="72">
        <f t="shared" si="128"/>
        <v>33133.75</v>
      </c>
      <c r="BI353" s="73">
        <f t="shared" si="129"/>
        <v>1</v>
      </c>
      <c r="BJ353" s="74">
        <f t="shared" si="130"/>
        <v>2.9456537382388228E-3</v>
      </c>
      <c r="BK353" s="75">
        <f t="shared" si="131"/>
        <v>2.8748211395760712E-5</v>
      </c>
      <c r="BM353" s="76">
        <f t="shared" si="132"/>
        <v>1</v>
      </c>
    </row>
    <row r="354" spans="1:65" ht="12.75" customHeight="1" x14ac:dyDescent="0.2">
      <c r="A354" s="47"/>
      <c r="B354" s="48" t="s">
        <v>711</v>
      </c>
      <c r="C354" s="49">
        <v>42000</v>
      </c>
      <c r="D354" s="50">
        <v>13</v>
      </c>
      <c r="E354" s="49">
        <v>32215</v>
      </c>
      <c r="F354" s="50" t="s">
        <v>55</v>
      </c>
      <c r="G354" s="51">
        <v>45463</v>
      </c>
      <c r="H354" s="52" t="s">
        <v>56</v>
      </c>
      <c r="I354" s="51">
        <v>45687</v>
      </c>
      <c r="J354" s="52">
        <f t="shared" si="175"/>
        <v>7.4666666666666668</v>
      </c>
      <c r="K354" s="53" t="s">
        <v>712</v>
      </c>
      <c r="L354" s="53">
        <v>50000</v>
      </c>
      <c r="M354" s="54">
        <f>124.6+284.74+202.86+297.84+450.33+44.86+511.92</f>
        <v>1917.1499999999999</v>
      </c>
      <c r="N354" s="54">
        <f>4468.42+165.6+387.17+124.2+1959.14+129+3+25.87+30+326+16+112+65.74+2500+101.43+100</f>
        <v>10513.57</v>
      </c>
      <c r="O354" s="54">
        <f>828+2225.51</f>
        <v>3053.51</v>
      </c>
      <c r="P354" s="54">
        <f t="shared" si="176"/>
        <v>0</v>
      </c>
      <c r="Q354" s="54">
        <f t="shared" si="177"/>
        <v>0</v>
      </c>
      <c r="R354" s="55">
        <f t="shared" si="178"/>
        <v>0</v>
      </c>
      <c r="S354" s="55">
        <f t="shared" si="179"/>
        <v>1</v>
      </c>
      <c r="T354" s="56"/>
      <c r="V354" s="57"/>
      <c r="W354" s="58"/>
      <c r="X354" s="58"/>
      <c r="Y354" s="58"/>
      <c r="Z354" s="58"/>
      <c r="AA354" s="58"/>
      <c r="AB354" s="58"/>
      <c r="AC354" s="58"/>
      <c r="AD354" s="59"/>
      <c r="AE354" s="60"/>
      <c r="AF354" s="61"/>
      <c r="AG354" s="59"/>
      <c r="AH354" s="60"/>
      <c r="AI354" s="62"/>
      <c r="AJ354" s="62"/>
      <c r="AK354" s="63"/>
      <c r="AL354" s="64"/>
      <c r="AP354" s="65">
        <f t="shared" si="113"/>
        <v>1</v>
      </c>
      <c r="AQ354" s="16">
        <f t="shared" si="114"/>
        <v>1</v>
      </c>
      <c r="AR354" s="16">
        <f t="shared" si="115"/>
        <v>1</v>
      </c>
      <c r="AS354" s="66">
        <f t="shared" si="116"/>
        <v>13567.08</v>
      </c>
      <c r="AT354" s="67">
        <f t="shared" si="117"/>
        <v>32215</v>
      </c>
      <c r="AU354" s="68">
        <f t="shared" si="80"/>
        <v>7.4666666666666668</v>
      </c>
      <c r="AV354" s="19">
        <f t="shared" si="118"/>
        <v>4.7052861234977723E-3</v>
      </c>
      <c r="AW354" s="69">
        <f t="shared" si="119"/>
        <v>0</v>
      </c>
      <c r="AY354" s="65">
        <f t="shared" si="120"/>
        <v>0</v>
      </c>
      <c r="AZ354" s="16">
        <f t="shared" si="121"/>
        <v>1</v>
      </c>
      <c r="BA354" s="16">
        <f t="shared" si="122"/>
        <v>0</v>
      </c>
      <c r="BB354" s="70">
        <f t="shared" si="123"/>
        <v>0</v>
      </c>
      <c r="BC354" s="67">
        <f t="shared" si="124"/>
        <v>0</v>
      </c>
      <c r="BD354" s="71">
        <f t="shared" si="125"/>
        <v>0</v>
      </c>
      <c r="BE354" s="19">
        <f t="shared" si="126"/>
        <v>0</v>
      </c>
      <c r="BF354" s="69">
        <f t="shared" si="127"/>
        <v>0</v>
      </c>
      <c r="BH354" s="72">
        <f t="shared" si="128"/>
        <v>32215</v>
      </c>
      <c r="BI354" s="73">
        <f t="shared" si="129"/>
        <v>1</v>
      </c>
      <c r="BJ354" s="74">
        <f t="shared" si="130"/>
        <v>2.8639751062697004E-3</v>
      </c>
      <c r="BK354" s="75">
        <f t="shared" si="131"/>
        <v>0</v>
      </c>
      <c r="BM354" s="76">
        <f t="shared" si="132"/>
        <v>1</v>
      </c>
    </row>
    <row r="355" spans="1:65" ht="12.75" customHeight="1" x14ac:dyDescent="0.2">
      <c r="A355" s="47"/>
      <c r="B355" s="48" t="s">
        <v>713</v>
      </c>
      <c r="C355" s="49">
        <v>50000</v>
      </c>
      <c r="D355" s="50">
        <v>13</v>
      </c>
      <c r="E355" s="49">
        <v>38909.61</v>
      </c>
      <c r="F355" s="50" t="s">
        <v>55</v>
      </c>
      <c r="G355" s="51">
        <v>45468</v>
      </c>
      <c r="H355" s="52" t="s">
        <v>56</v>
      </c>
      <c r="I355" s="51">
        <v>45563</v>
      </c>
      <c r="J355" s="52">
        <f t="shared" si="175"/>
        <v>3.1666666666666665</v>
      </c>
      <c r="K355" s="53" t="s">
        <v>714</v>
      </c>
      <c r="L355" s="53">
        <v>50500</v>
      </c>
      <c r="M355" s="54">
        <v>3252.13</v>
      </c>
      <c r="N355" s="77">
        <v>7550.98</v>
      </c>
      <c r="O355" s="54">
        <v>220</v>
      </c>
      <c r="P355" s="54">
        <f t="shared" si="176"/>
        <v>0</v>
      </c>
      <c r="Q355" s="54">
        <f t="shared" si="177"/>
        <v>0</v>
      </c>
      <c r="R355" s="55">
        <f t="shared" si="178"/>
        <v>0</v>
      </c>
      <c r="S355" s="55">
        <f t="shared" si="179"/>
        <v>1</v>
      </c>
      <c r="T355" s="56"/>
      <c r="V355" s="57"/>
      <c r="W355" s="58"/>
      <c r="X355" s="58"/>
      <c r="Y355" s="58"/>
      <c r="Z355" s="58"/>
      <c r="AA355" s="58"/>
      <c r="AB355" s="58"/>
      <c r="AC355" s="58"/>
      <c r="AD355" s="59"/>
      <c r="AE355" s="60"/>
      <c r="AF355" s="61"/>
      <c r="AG355" s="59"/>
      <c r="AH355" s="60"/>
      <c r="AI355" s="62"/>
      <c r="AJ355" s="62"/>
      <c r="AK355" s="63"/>
      <c r="AL355" s="64"/>
      <c r="AP355" s="65">
        <f t="shared" si="113"/>
        <v>1</v>
      </c>
      <c r="AQ355" s="16">
        <f t="shared" si="114"/>
        <v>1</v>
      </c>
      <c r="AR355" s="16">
        <f t="shared" si="115"/>
        <v>1</v>
      </c>
      <c r="AS355" s="66">
        <f t="shared" si="116"/>
        <v>7770.98</v>
      </c>
      <c r="AT355" s="67">
        <f t="shared" si="117"/>
        <v>38909.61</v>
      </c>
      <c r="AU355" s="68">
        <f t="shared" si="80"/>
        <v>3.1666666666666665</v>
      </c>
      <c r="AV355" s="19">
        <f t="shared" si="118"/>
        <v>5.6830932175604585E-3</v>
      </c>
      <c r="AW355" s="69">
        <f t="shared" si="119"/>
        <v>0</v>
      </c>
      <c r="AY355" s="65">
        <f t="shared" si="120"/>
        <v>0</v>
      </c>
      <c r="AZ355" s="16">
        <f t="shared" si="121"/>
        <v>1</v>
      </c>
      <c r="BA355" s="16">
        <f t="shared" si="122"/>
        <v>0</v>
      </c>
      <c r="BB355" s="70">
        <f t="shared" si="123"/>
        <v>0</v>
      </c>
      <c r="BC355" s="67">
        <f t="shared" si="124"/>
        <v>0</v>
      </c>
      <c r="BD355" s="71">
        <f t="shared" si="125"/>
        <v>0</v>
      </c>
      <c r="BE355" s="19">
        <f t="shared" si="126"/>
        <v>0</v>
      </c>
      <c r="BF355" s="69">
        <f t="shared" si="127"/>
        <v>0</v>
      </c>
      <c r="BH355" s="72">
        <f t="shared" si="128"/>
        <v>38909.61</v>
      </c>
      <c r="BI355" s="73">
        <f t="shared" si="129"/>
        <v>1</v>
      </c>
      <c r="BJ355" s="74">
        <f t="shared" si="130"/>
        <v>3.4591387376893558E-3</v>
      </c>
      <c r="BK355" s="75">
        <f t="shared" si="131"/>
        <v>0</v>
      </c>
      <c r="BM355" s="76">
        <f t="shared" si="132"/>
        <v>1</v>
      </c>
    </row>
    <row r="356" spans="1:65" ht="12.75" customHeight="1" x14ac:dyDescent="0.2">
      <c r="A356" s="47"/>
      <c r="B356" s="48" t="s">
        <v>715</v>
      </c>
      <c r="C356" s="49">
        <v>50600</v>
      </c>
      <c r="D356" s="50">
        <v>13</v>
      </c>
      <c r="E356" s="49">
        <v>49459.360000000001</v>
      </c>
      <c r="F356" s="50" t="s">
        <v>55</v>
      </c>
      <c r="G356" s="51">
        <v>45457</v>
      </c>
      <c r="H356" s="52" t="s">
        <v>56</v>
      </c>
      <c r="I356" s="51">
        <v>45820</v>
      </c>
      <c r="J356" s="52">
        <f t="shared" si="175"/>
        <v>12.1</v>
      </c>
      <c r="K356" s="53" t="s">
        <v>716</v>
      </c>
      <c r="L356" s="53">
        <v>60000</v>
      </c>
      <c r="M356" s="54">
        <v>1093.5</v>
      </c>
      <c r="N356" s="54">
        <v>10538.24</v>
      </c>
      <c r="O356" s="54">
        <v>24.61</v>
      </c>
      <c r="P356" s="54">
        <f t="shared" si="176"/>
        <v>0</v>
      </c>
      <c r="Q356" s="54">
        <f t="shared" si="177"/>
        <v>1115.7100000000003</v>
      </c>
      <c r="R356" s="55">
        <f t="shared" si="178"/>
        <v>2.2558116401020966E-2</v>
      </c>
      <c r="S356" s="55">
        <f t="shared" si="179"/>
        <v>0.97744188359897899</v>
      </c>
      <c r="T356" s="56"/>
      <c r="V356" s="57"/>
      <c r="W356" s="58"/>
      <c r="X356" s="58"/>
      <c r="Y356" s="58"/>
      <c r="Z356" s="58"/>
      <c r="AA356" s="58"/>
      <c r="AB356" s="58"/>
      <c r="AC356" s="58"/>
      <c r="AD356" s="59"/>
      <c r="AE356" s="60"/>
      <c r="AF356" s="61"/>
      <c r="AG356" s="59"/>
      <c r="AH356" s="60"/>
      <c r="AI356" s="62"/>
      <c r="AJ356" s="62"/>
      <c r="AK356" s="63"/>
      <c r="AL356" s="64"/>
      <c r="AP356" s="65">
        <f t="shared" si="113"/>
        <v>1</v>
      </c>
      <c r="AQ356" s="16">
        <f t="shared" si="114"/>
        <v>1</v>
      </c>
      <c r="AR356" s="16">
        <f t="shared" si="115"/>
        <v>1</v>
      </c>
      <c r="AS356" s="66">
        <f t="shared" si="116"/>
        <v>10562.85</v>
      </c>
      <c r="AT356" s="67">
        <f t="shared" si="117"/>
        <v>49459.360000000001</v>
      </c>
      <c r="AU356" s="68">
        <f t="shared" si="80"/>
        <v>12.1</v>
      </c>
      <c r="AV356" s="19">
        <f t="shared" si="118"/>
        <v>7.2239776590122861E-3</v>
      </c>
      <c r="AW356" s="69">
        <f t="shared" si="119"/>
        <v>1.629593289103741E-4</v>
      </c>
      <c r="AY356" s="65">
        <f t="shared" si="120"/>
        <v>0</v>
      </c>
      <c r="AZ356" s="16">
        <f t="shared" si="121"/>
        <v>1</v>
      </c>
      <c r="BA356" s="16">
        <f t="shared" si="122"/>
        <v>0</v>
      </c>
      <c r="BB356" s="70">
        <f t="shared" si="123"/>
        <v>0</v>
      </c>
      <c r="BC356" s="67">
        <f t="shared" si="124"/>
        <v>0</v>
      </c>
      <c r="BD356" s="71">
        <f t="shared" si="125"/>
        <v>0</v>
      </c>
      <c r="BE356" s="19">
        <f t="shared" si="126"/>
        <v>0</v>
      </c>
      <c r="BF356" s="69">
        <f t="shared" si="127"/>
        <v>0</v>
      </c>
      <c r="BH356" s="72">
        <f t="shared" si="128"/>
        <v>49459.360000000001</v>
      </c>
      <c r="BI356" s="73">
        <f t="shared" si="129"/>
        <v>1</v>
      </c>
      <c r="BJ356" s="74">
        <f t="shared" si="130"/>
        <v>4.3970316874757526E-3</v>
      </c>
      <c r="BK356" s="75">
        <f t="shared" si="131"/>
        <v>9.9188752625055675E-5</v>
      </c>
      <c r="BM356" s="76">
        <f t="shared" si="132"/>
        <v>1</v>
      </c>
    </row>
    <row r="357" spans="1:65" ht="12.75" customHeight="1" x14ac:dyDescent="0.2">
      <c r="A357" s="47"/>
      <c r="B357" s="48" t="s">
        <v>717</v>
      </c>
      <c r="C357" s="49">
        <v>28177</v>
      </c>
      <c r="D357" s="50">
        <v>13</v>
      </c>
      <c r="E357" s="49">
        <v>17753.43</v>
      </c>
      <c r="F357" s="50" t="s">
        <v>55</v>
      </c>
      <c r="G357" s="51">
        <v>45476</v>
      </c>
      <c r="H357" s="52" t="s">
        <v>56</v>
      </c>
      <c r="I357" s="51">
        <v>45776</v>
      </c>
      <c r="J357" s="52">
        <f t="shared" si="175"/>
        <v>10</v>
      </c>
      <c r="K357" s="53" t="s">
        <v>718</v>
      </c>
      <c r="L357" s="53">
        <v>51000</v>
      </c>
      <c r="M357" s="54">
        <v>501.88</v>
      </c>
      <c r="N357" s="54">
        <v>6938.98</v>
      </c>
      <c r="O357" s="54">
        <v>1786.04</v>
      </c>
      <c r="P357" s="54">
        <f t="shared" si="176"/>
        <v>0</v>
      </c>
      <c r="Q357" s="54">
        <f t="shared" si="177"/>
        <v>0</v>
      </c>
      <c r="R357" s="55">
        <f t="shared" si="178"/>
        <v>0</v>
      </c>
      <c r="S357" s="55">
        <f t="shared" si="179"/>
        <v>1</v>
      </c>
      <c r="T357" s="56"/>
      <c r="V357" s="57"/>
      <c r="W357" s="58"/>
      <c r="X357" s="58"/>
      <c r="Y357" s="58"/>
      <c r="Z357" s="58"/>
      <c r="AA357" s="58"/>
      <c r="AB357" s="58"/>
      <c r="AC357" s="58"/>
      <c r="AD357" s="59"/>
      <c r="AE357" s="60"/>
      <c r="AF357" s="61"/>
      <c r="AG357" s="59"/>
      <c r="AH357" s="60"/>
      <c r="AI357" s="62"/>
      <c r="AJ357" s="62"/>
      <c r="AK357" s="63"/>
      <c r="AL357" s="64"/>
      <c r="AP357" s="65">
        <f t="shared" si="113"/>
        <v>1</v>
      </c>
      <c r="AQ357" s="16">
        <f t="shared" si="114"/>
        <v>1</v>
      </c>
      <c r="AR357" s="16">
        <f t="shared" si="115"/>
        <v>1</v>
      </c>
      <c r="AS357" s="66">
        <f t="shared" si="116"/>
        <v>8725.02</v>
      </c>
      <c r="AT357" s="67">
        <f t="shared" si="117"/>
        <v>17753.43</v>
      </c>
      <c r="AU357" s="68">
        <f t="shared" si="80"/>
        <v>10</v>
      </c>
      <c r="AV357" s="19">
        <f t="shared" si="118"/>
        <v>2.5930457185624417E-3</v>
      </c>
      <c r="AW357" s="69">
        <f t="shared" si="119"/>
        <v>0</v>
      </c>
      <c r="AY357" s="65">
        <f t="shared" si="120"/>
        <v>0</v>
      </c>
      <c r="AZ357" s="16">
        <f t="shared" si="121"/>
        <v>1</v>
      </c>
      <c r="BA357" s="16">
        <f t="shared" si="122"/>
        <v>0</v>
      </c>
      <c r="BB357" s="70">
        <f t="shared" si="123"/>
        <v>0</v>
      </c>
      <c r="BC357" s="67">
        <f t="shared" si="124"/>
        <v>0</v>
      </c>
      <c r="BD357" s="71">
        <f t="shared" si="125"/>
        <v>0</v>
      </c>
      <c r="BE357" s="19">
        <f t="shared" si="126"/>
        <v>0</v>
      </c>
      <c r="BF357" s="69">
        <f t="shared" si="127"/>
        <v>0</v>
      </c>
      <c r="BH357" s="72">
        <f t="shared" si="128"/>
        <v>17753.43</v>
      </c>
      <c r="BI357" s="73">
        <f t="shared" si="129"/>
        <v>1</v>
      </c>
      <c r="BJ357" s="74">
        <f t="shared" si="130"/>
        <v>1.5783138777247148E-3</v>
      </c>
      <c r="BK357" s="75">
        <f t="shared" si="131"/>
        <v>0</v>
      </c>
      <c r="BM357" s="76">
        <f t="shared" si="132"/>
        <v>1</v>
      </c>
    </row>
    <row r="358" spans="1:65" ht="12.75" customHeight="1" x14ac:dyDescent="0.2">
      <c r="A358" s="47"/>
      <c r="B358" s="48" t="s">
        <v>719</v>
      </c>
      <c r="C358" s="49">
        <v>42500</v>
      </c>
      <c r="D358" s="50">
        <v>13</v>
      </c>
      <c r="E358" s="49">
        <v>34442.15</v>
      </c>
      <c r="F358" s="50" t="s">
        <v>55</v>
      </c>
      <c r="G358" s="51">
        <v>45463</v>
      </c>
      <c r="H358" s="52" t="s">
        <v>56</v>
      </c>
      <c r="I358" s="51">
        <v>45782</v>
      </c>
      <c r="J358" s="52">
        <f t="shared" si="175"/>
        <v>10.633333333333333</v>
      </c>
      <c r="K358" s="53" t="s">
        <v>720</v>
      </c>
      <c r="L358" s="53">
        <f>37971.06+8528.94</f>
        <v>46500</v>
      </c>
      <c r="M358" s="54">
        <v>3246.3</v>
      </c>
      <c r="N358" s="54">
        <v>14250.3</v>
      </c>
      <c r="O358" s="54"/>
      <c r="P358" s="54">
        <f t="shared" si="176"/>
        <v>0</v>
      </c>
      <c r="Q358" s="54">
        <f t="shared" si="177"/>
        <v>5438.75</v>
      </c>
      <c r="R358" s="55">
        <f t="shared" si="178"/>
        <v>0.15790971237277579</v>
      </c>
      <c r="S358" s="55">
        <f t="shared" si="179"/>
        <v>0.84209028762722427</v>
      </c>
      <c r="T358" s="56"/>
      <c r="V358" s="57"/>
      <c r="W358" s="58"/>
      <c r="X358" s="58"/>
      <c r="Y358" s="58"/>
      <c r="Z358" s="58"/>
      <c r="AA358" s="58"/>
      <c r="AB358" s="58"/>
      <c r="AC358" s="58"/>
      <c r="AD358" s="59"/>
      <c r="AE358" s="60"/>
      <c r="AF358" s="61"/>
      <c r="AG358" s="59"/>
      <c r="AH358" s="60"/>
      <c r="AI358" s="62"/>
      <c r="AJ358" s="62"/>
      <c r="AK358" s="63"/>
      <c r="AL358" s="64"/>
      <c r="AP358" s="65">
        <f t="shared" si="113"/>
        <v>1</v>
      </c>
      <c r="AQ358" s="16">
        <f t="shared" si="114"/>
        <v>1</v>
      </c>
      <c r="AR358" s="16">
        <f t="shared" si="115"/>
        <v>1</v>
      </c>
      <c r="AS358" s="66">
        <f t="shared" si="116"/>
        <v>14250.3</v>
      </c>
      <c r="AT358" s="67">
        <f t="shared" si="117"/>
        <v>34442.15</v>
      </c>
      <c r="AU358" s="68">
        <f t="shared" si="80"/>
        <v>10.633333333333333</v>
      </c>
      <c r="AV358" s="19">
        <f t="shared" si="118"/>
        <v>5.0305811099931336E-3</v>
      </c>
      <c r="AW358" s="69">
        <f t="shared" si="119"/>
        <v>7.9437761614693488E-4</v>
      </c>
      <c r="AY358" s="65">
        <f t="shared" si="120"/>
        <v>0</v>
      </c>
      <c r="AZ358" s="16">
        <f t="shared" si="121"/>
        <v>1</v>
      </c>
      <c r="BA358" s="16">
        <f t="shared" si="122"/>
        <v>0</v>
      </c>
      <c r="BB358" s="70">
        <f t="shared" si="123"/>
        <v>0</v>
      </c>
      <c r="BC358" s="67">
        <f t="shared" si="124"/>
        <v>0</v>
      </c>
      <c r="BD358" s="71">
        <f t="shared" si="125"/>
        <v>0</v>
      </c>
      <c r="BE358" s="19">
        <f t="shared" si="126"/>
        <v>0</v>
      </c>
      <c r="BF358" s="69">
        <f t="shared" si="127"/>
        <v>0</v>
      </c>
      <c r="BH358" s="72">
        <f t="shared" si="128"/>
        <v>34442.15</v>
      </c>
      <c r="BI358" s="73">
        <f t="shared" si="129"/>
        <v>1</v>
      </c>
      <c r="BJ358" s="74">
        <f t="shared" si="130"/>
        <v>3.0619730003540887E-3</v>
      </c>
      <c r="BK358" s="75">
        <f t="shared" si="131"/>
        <v>4.8351527577911944E-4</v>
      </c>
      <c r="BM358" s="76">
        <f t="shared" si="132"/>
        <v>1</v>
      </c>
    </row>
    <row r="359" spans="1:65" ht="12.75" customHeight="1" x14ac:dyDescent="0.2">
      <c r="A359" s="47"/>
      <c r="B359" s="48" t="s">
        <v>721</v>
      </c>
      <c r="C359" s="49">
        <v>37503.040000000001</v>
      </c>
      <c r="D359" s="50">
        <v>13</v>
      </c>
      <c r="E359" s="49">
        <v>35380.46</v>
      </c>
      <c r="F359" s="50" t="s">
        <v>55</v>
      </c>
      <c r="G359" s="51">
        <v>45464</v>
      </c>
      <c r="H359" s="52" t="s">
        <v>56</v>
      </c>
      <c r="I359" s="51">
        <v>45836</v>
      </c>
      <c r="J359" s="52">
        <f t="shared" si="175"/>
        <v>12.4</v>
      </c>
      <c r="K359" s="53" t="s">
        <v>722</v>
      </c>
      <c r="L359" s="53">
        <v>54000</v>
      </c>
      <c r="M359" s="54">
        <v>1467.41</v>
      </c>
      <c r="N359" s="54">
        <v>8498.5300000000007</v>
      </c>
      <c r="O359" s="54">
        <v>1563.78</v>
      </c>
      <c r="P359" s="54">
        <f t="shared" si="176"/>
        <v>0</v>
      </c>
      <c r="Q359" s="54">
        <f t="shared" si="177"/>
        <v>0</v>
      </c>
      <c r="R359" s="55">
        <f t="shared" si="178"/>
        <v>0</v>
      </c>
      <c r="S359" s="55">
        <f t="shared" si="179"/>
        <v>1</v>
      </c>
      <c r="T359" s="56"/>
      <c r="V359" s="57"/>
      <c r="W359" s="58"/>
      <c r="X359" s="58"/>
      <c r="Y359" s="58"/>
      <c r="Z359" s="58"/>
      <c r="AA359" s="58"/>
      <c r="AB359" s="58"/>
      <c r="AC359" s="58"/>
      <c r="AD359" s="59"/>
      <c r="AE359" s="60"/>
      <c r="AF359" s="61"/>
      <c r="AG359" s="59"/>
      <c r="AH359" s="60"/>
      <c r="AI359" s="62"/>
      <c r="AJ359" s="62"/>
      <c r="AK359" s="63"/>
      <c r="AL359" s="64"/>
      <c r="AP359" s="65">
        <f t="shared" si="113"/>
        <v>1</v>
      </c>
      <c r="AQ359" s="16">
        <f t="shared" si="114"/>
        <v>1</v>
      </c>
      <c r="AR359" s="16">
        <f t="shared" si="115"/>
        <v>1</v>
      </c>
      <c r="AS359" s="66">
        <f t="shared" si="116"/>
        <v>10062.310000000001</v>
      </c>
      <c r="AT359" s="67">
        <f t="shared" si="117"/>
        <v>35380.46</v>
      </c>
      <c r="AU359" s="68">
        <f t="shared" si="80"/>
        <v>12.4</v>
      </c>
      <c r="AV359" s="19">
        <f t="shared" si="118"/>
        <v>5.1676295974225671E-3</v>
      </c>
      <c r="AW359" s="69">
        <f t="shared" si="119"/>
        <v>0</v>
      </c>
      <c r="AY359" s="65">
        <f t="shared" si="120"/>
        <v>0</v>
      </c>
      <c r="AZ359" s="16">
        <f t="shared" si="121"/>
        <v>1</v>
      </c>
      <c r="BA359" s="16">
        <f t="shared" si="122"/>
        <v>0</v>
      </c>
      <c r="BB359" s="70">
        <f t="shared" si="123"/>
        <v>0</v>
      </c>
      <c r="BC359" s="67">
        <f t="shared" si="124"/>
        <v>0</v>
      </c>
      <c r="BD359" s="71">
        <f t="shared" si="125"/>
        <v>0</v>
      </c>
      <c r="BE359" s="19">
        <f t="shared" si="126"/>
        <v>0</v>
      </c>
      <c r="BF359" s="69">
        <f t="shared" si="127"/>
        <v>0</v>
      </c>
      <c r="BH359" s="72">
        <f t="shared" si="128"/>
        <v>35380.46</v>
      </c>
      <c r="BI359" s="73">
        <f t="shared" si="129"/>
        <v>1</v>
      </c>
      <c r="BJ359" s="74">
        <f t="shared" si="130"/>
        <v>3.1453905537287253E-3</v>
      </c>
      <c r="BK359" s="75">
        <f t="shared" si="131"/>
        <v>0</v>
      </c>
      <c r="BM359" s="76">
        <f t="shared" si="132"/>
        <v>1</v>
      </c>
    </row>
    <row r="360" spans="1:65" ht="12.75" customHeight="1" x14ac:dyDescent="0.2">
      <c r="A360" s="47"/>
      <c r="B360" s="48" t="s">
        <v>723</v>
      </c>
      <c r="C360" s="49">
        <v>50000</v>
      </c>
      <c r="D360" s="50">
        <v>13</v>
      </c>
      <c r="E360" s="49">
        <v>38665.74</v>
      </c>
      <c r="F360" s="50" t="s">
        <v>55</v>
      </c>
      <c r="G360" s="51">
        <v>45477</v>
      </c>
      <c r="H360" s="52" t="s">
        <v>56</v>
      </c>
      <c r="I360" s="51">
        <v>45806</v>
      </c>
      <c r="J360" s="52">
        <f t="shared" si="175"/>
        <v>10.966666666666667</v>
      </c>
      <c r="K360" s="53" t="s">
        <v>724</v>
      </c>
      <c r="L360" s="53">
        <f>38665.74+24607.88</f>
        <v>63273.619999999995</v>
      </c>
      <c r="M360" s="54">
        <v>972.48</v>
      </c>
      <c r="N360" s="54">
        <v>7742.14</v>
      </c>
      <c r="O360" s="54">
        <v>44.61</v>
      </c>
      <c r="P360" s="54">
        <f t="shared" si="176"/>
        <v>0</v>
      </c>
      <c r="Q360" s="54">
        <f t="shared" si="177"/>
        <v>0</v>
      </c>
      <c r="R360" s="55">
        <f t="shared" si="178"/>
        <v>0</v>
      </c>
      <c r="S360" s="55">
        <f t="shared" si="179"/>
        <v>1</v>
      </c>
      <c r="T360" s="56"/>
      <c r="V360" s="57"/>
      <c r="W360" s="58"/>
      <c r="X360" s="58"/>
      <c r="Y360" s="58"/>
      <c r="Z360" s="58"/>
      <c r="AA360" s="58"/>
      <c r="AB360" s="58"/>
      <c r="AC360" s="58"/>
      <c r="AD360" s="59"/>
      <c r="AE360" s="60"/>
      <c r="AF360" s="61"/>
      <c r="AG360" s="59"/>
      <c r="AH360" s="60"/>
      <c r="AI360" s="62"/>
      <c r="AJ360" s="62"/>
      <c r="AK360" s="63"/>
      <c r="AL360" s="64"/>
      <c r="AP360" s="65">
        <f t="shared" si="113"/>
        <v>1</v>
      </c>
      <c r="AQ360" s="16">
        <f t="shared" si="114"/>
        <v>1</v>
      </c>
      <c r="AR360" s="16">
        <f t="shared" si="115"/>
        <v>1</v>
      </c>
      <c r="AS360" s="66">
        <f t="shared" si="116"/>
        <v>7786.75</v>
      </c>
      <c r="AT360" s="67">
        <f t="shared" si="117"/>
        <v>38665.74</v>
      </c>
      <c r="AU360" s="68">
        <f t="shared" si="80"/>
        <v>10.966666666666667</v>
      </c>
      <c r="AV360" s="19">
        <f t="shared" si="118"/>
        <v>5.6474738437613768E-3</v>
      </c>
      <c r="AW360" s="69">
        <f t="shared" si="119"/>
        <v>0</v>
      </c>
      <c r="AY360" s="65">
        <f t="shared" si="120"/>
        <v>0</v>
      </c>
      <c r="AZ360" s="16">
        <f t="shared" si="121"/>
        <v>1</v>
      </c>
      <c r="BA360" s="16">
        <f t="shared" si="122"/>
        <v>0</v>
      </c>
      <c r="BB360" s="70">
        <f t="shared" si="123"/>
        <v>0</v>
      </c>
      <c r="BC360" s="67">
        <f t="shared" si="124"/>
        <v>0</v>
      </c>
      <c r="BD360" s="71">
        <f t="shared" si="125"/>
        <v>0</v>
      </c>
      <c r="BE360" s="19">
        <f t="shared" si="126"/>
        <v>0</v>
      </c>
      <c r="BF360" s="69">
        <f t="shared" si="127"/>
        <v>0</v>
      </c>
      <c r="BH360" s="72">
        <f t="shared" si="128"/>
        <v>38665.74</v>
      </c>
      <c r="BI360" s="73">
        <f t="shared" si="129"/>
        <v>1</v>
      </c>
      <c r="BJ360" s="74">
        <f t="shared" si="130"/>
        <v>3.4374582283252086E-3</v>
      </c>
      <c r="BK360" s="75">
        <f t="shared" si="131"/>
        <v>0</v>
      </c>
      <c r="BM360" s="76">
        <f t="shared" si="132"/>
        <v>1</v>
      </c>
    </row>
    <row r="361" spans="1:65" ht="12.75" customHeight="1" x14ac:dyDescent="0.2">
      <c r="A361" s="47"/>
      <c r="B361" s="48" t="s">
        <v>725</v>
      </c>
      <c r="C361" s="49">
        <v>50000</v>
      </c>
      <c r="D361" s="50">
        <v>13</v>
      </c>
      <c r="E361" s="49">
        <v>39656.44</v>
      </c>
      <c r="F361" s="50" t="s">
        <v>55</v>
      </c>
      <c r="G361" s="51">
        <v>46227</v>
      </c>
      <c r="H361" s="52" t="s">
        <v>56</v>
      </c>
      <c r="I361" s="51">
        <v>46054</v>
      </c>
      <c r="J361" s="52">
        <v>19</v>
      </c>
      <c r="K361" s="53" t="s">
        <v>726</v>
      </c>
      <c r="L361" s="53">
        <v>55000</v>
      </c>
      <c r="M361" s="54"/>
      <c r="N361" s="54"/>
      <c r="O361" s="54"/>
      <c r="P361" s="54">
        <f t="shared" si="176"/>
        <v>0</v>
      </c>
      <c r="Q361" s="54">
        <f t="shared" si="177"/>
        <v>0</v>
      </c>
      <c r="R361" s="55">
        <f t="shared" si="178"/>
        <v>0</v>
      </c>
      <c r="S361" s="55">
        <f t="shared" si="179"/>
        <v>1</v>
      </c>
      <c r="T361" s="56"/>
      <c r="V361" s="57"/>
      <c r="W361" s="58"/>
      <c r="X361" s="58"/>
      <c r="Y361" s="58"/>
      <c r="Z361" s="58"/>
      <c r="AA361" s="58"/>
      <c r="AB361" s="58"/>
      <c r="AC361" s="58"/>
      <c r="AD361" s="59"/>
      <c r="AE361" s="60"/>
      <c r="AF361" s="61"/>
      <c r="AG361" s="59"/>
      <c r="AH361" s="60"/>
      <c r="AI361" s="62"/>
      <c r="AJ361" s="62"/>
      <c r="AK361" s="63"/>
      <c r="AL361" s="64"/>
      <c r="AP361" s="65">
        <f t="shared" si="113"/>
        <v>1</v>
      </c>
      <c r="AQ361" s="16">
        <f t="shared" si="114"/>
        <v>1</v>
      </c>
      <c r="AR361" s="16">
        <f t="shared" si="115"/>
        <v>1</v>
      </c>
      <c r="AS361" s="66">
        <f t="shared" si="116"/>
        <v>0</v>
      </c>
      <c r="AT361" s="67">
        <f t="shared" si="117"/>
        <v>39656.44</v>
      </c>
      <c r="AU361" s="68">
        <f t="shared" si="80"/>
        <v>19</v>
      </c>
      <c r="AV361" s="19">
        <f t="shared" si="118"/>
        <v>5.7921743547826171E-3</v>
      </c>
      <c r="AW361" s="69">
        <f t="shared" si="119"/>
        <v>0</v>
      </c>
      <c r="AY361" s="65">
        <f t="shared" si="120"/>
        <v>0</v>
      </c>
      <c r="AZ361" s="16">
        <f t="shared" si="121"/>
        <v>1</v>
      </c>
      <c r="BA361" s="16">
        <f t="shared" si="122"/>
        <v>0</v>
      </c>
      <c r="BB361" s="70">
        <f t="shared" si="123"/>
        <v>0</v>
      </c>
      <c r="BC361" s="67">
        <f t="shared" si="124"/>
        <v>0</v>
      </c>
      <c r="BD361" s="71">
        <f t="shared" si="125"/>
        <v>0</v>
      </c>
      <c r="BE361" s="19">
        <f t="shared" si="126"/>
        <v>0</v>
      </c>
      <c r="BF361" s="69">
        <f t="shared" si="127"/>
        <v>0</v>
      </c>
      <c r="BH361" s="72">
        <f t="shared" si="128"/>
        <v>39656.44</v>
      </c>
      <c r="BI361" s="73">
        <f t="shared" si="129"/>
        <v>1</v>
      </c>
      <c r="BJ361" s="74">
        <f t="shared" si="130"/>
        <v>3.5255333528877233E-3</v>
      </c>
      <c r="BK361" s="75">
        <f t="shared" si="131"/>
        <v>0</v>
      </c>
      <c r="BM361" s="76">
        <f t="shared" si="132"/>
        <v>1</v>
      </c>
    </row>
    <row r="362" spans="1:65" ht="12.75" customHeight="1" x14ac:dyDescent="0.2">
      <c r="A362" s="47"/>
      <c r="B362" s="48" t="s">
        <v>727</v>
      </c>
      <c r="C362" s="49">
        <v>49906.400000000001</v>
      </c>
      <c r="D362" s="50">
        <v>13</v>
      </c>
      <c r="E362" s="49">
        <v>37128.980000000003</v>
      </c>
      <c r="F362" s="50" t="s">
        <v>63</v>
      </c>
      <c r="G362" s="51">
        <v>45503</v>
      </c>
      <c r="H362" s="52" t="s">
        <v>56</v>
      </c>
      <c r="I362" s="51">
        <v>45744</v>
      </c>
      <c r="J362" s="52">
        <f t="shared" ref="J362:J368" si="186">IF(I362="Active",0,(IF(I362="N/A","N/A",(I362-G362)/30)))</f>
        <v>8.0333333333333332</v>
      </c>
      <c r="K362" s="53" t="s">
        <v>728</v>
      </c>
      <c r="L362" s="53">
        <v>52500</v>
      </c>
      <c r="M362" s="54">
        <v>321.3</v>
      </c>
      <c r="N362" s="54">
        <v>9146.99</v>
      </c>
      <c r="O362" s="54">
        <v>2571.13</v>
      </c>
      <c r="P362" s="54">
        <f t="shared" si="176"/>
        <v>0</v>
      </c>
      <c r="Q362" s="54">
        <f t="shared" si="177"/>
        <v>0</v>
      </c>
      <c r="R362" s="55">
        <f t="shared" si="178"/>
        <v>0</v>
      </c>
      <c r="S362" s="55">
        <f t="shared" si="179"/>
        <v>1</v>
      </c>
      <c r="T362" s="56"/>
      <c r="V362" s="57"/>
      <c r="W362" s="58"/>
      <c r="X362" s="58"/>
      <c r="Y362" s="58"/>
      <c r="Z362" s="58"/>
      <c r="AA362" s="58"/>
      <c r="AB362" s="58"/>
      <c r="AC362" s="58"/>
      <c r="AD362" s="59"/>
      <c r="AE362" s="60"/>
      <c r="AF362" s="61"/>
      <c r="AG362" s="59"/>
      <c r="AH362" s="60"/>
      <c r="AI362" s="62"/>
      <c r="AJ362" s="62"/>
      <c r="AK362" s="63"/>
      <c r="AL362" s="64"/>
      <c r="AP362" s="65">
        <f t="shared" si="113"/>
        <v>0</v>
      </c>
      <c r="AQ362" s="16">
        <f t="shared" si="114"/>
        <v>1</v>
      </c>
      <c r="AR362" s="16">
        <f t="shared" si="115"/>
        <v>0</v>
      </c>
      <c r="AS362" s="66">
        <f t="shared" si="116"/>
        <v>0</v>
      </c>
      <c r="AT362" s="67">
        <f t="shared" si="117"/>
        <v>0</v>
      </c>
      <c r="AU362" s="68">
        <f t="shared" si="80"/>
        <v>0</v>
      </c>
      <c r="AV362" s="19">
        <f t="shared" si="118"/>
        <v>0</v>
      </c>
      <c r="AW362" s="69">
        <f t="shared" si="119"/>
        <v>0</v>
      </c>
      <c r="AY362" s="65">
        <f t="shared" si="120"/>
        <v>1</v>
      </c>
      <c r="AZ362" s="16">
        <f t="shared" si="121"/>
        <v>1</v>
      </c>
      <c r="BA362" s="16">
        <f t="shared" si="122"/>
        <v>1</v>
      </c>
      <c r="BB362" s="70">
        <f t="shared" si="123"/>
        <v>11718.119999999999</v>
      </c>
      <c r="BC362" s="67">
        <f t="shared" si="124"/>
        <v>37128.980000000003</v>
      </c>
      <c r="BD362" s="71">
        <f t="shared" si="125"/>
        <v>8.0333333333333332</v>
      </c>
      <c r="BE362" s="19">
        <f t="shared" si="126"/>
        <v>8.434959612097153E-3</v>
      </c>
      <c r="BF362" s="69">
        <f t="shared" si="127"/>
        <v>0</v>
      </c>
      <c r="BH362" s="72">
        <f t="shared" si="128"/>
        <v>37128.980000000003</v>
      </c>
      <c r="BI362" s="73">
        <f t="shared" si="129"/>
        <v>1</v>
      </c>
      <c r="BJ362" s="74">
        <f t="shared" si="130"/>
        <v>3.3008373255063042E-3</v>
      </c>
      <c r="BK362" s="75">
        <f t="shared" si="131"/>
        <v>0</v>
      </c>
      <c r="BM362" s="76">
        <f t="shared" si="132"/>
        <v>1</v>
      </c>
    </row>
    <row r="363" spans="1:65" ht="12.75" customHeight="1" x14ac:dyDescent="0.2">
      <c r="A363" s="47"/>
      <c r="B363" s="48" t="s">
        <v>729</v>
      </c>
      <c r="C363" s="49">
        <v>39599.379999999997</v>
      </c>
      <c r="D363" s="50">
        <v>13</v>
      </c>
      <c r="E363" s="49">
        <v>34519.800000000003</v>
      </c>
      <c r="F363" s="50" t="s">
        <v>63</v>
      </c>
      <c r="G363" s="51">
        <v>45476</v>
      </c>
      <c r="H363" s="52" t="s">
        <v>56</v>
      </c>
      <c r="I363" s="51">
        <v>45559</v>
      </c>
      <c r="J363" s="52">
        <f t="shared" si="186"/>
        <v>2.7666666666666666</v>
      </c>
      <c r="K363" s="53" t="s">
        <v>730</v>
      </c>
      <c r="L363" s="53">
        <v>42500</v>
      </c>
      <c r="M363" s="54">
        <v>480.92999999999995</v>
      </c>
      <c r="N363" s="77">
        <v>6201.6799999999994</v>
      </c>
      <c r="O363" s="54">
        <v>0</v>
      </c>
      <c r="P363" s="54">
        <f t="shared" si="176"/>
        <v>0</v>
      </c>
      <c r="Q363" s="54">
        <f t="shared" si="177"/>
        <v>0</v>
      </c>
      <c r="R363" s="55">
        <f t="shared" si="178"/>
        <v>0</v>
      </c>
      <c r="S363" s="55">
        <f t="shared" si="179"/>
        <v>1</v>
      </c>
      <c r="T363" s="56"/>
      <c r="V363" s="57"/>
      <c r="W363" s="58"/>
      <c r="X363" s="58"/>
      <c r="Y363" s="58"/>
      <c r="Z363" s="58"/>
      <c r="AA363" s="58"/>
      <c r="AB363" s="58"/>
      <c r="AC363" s="58"/>
      <c r="AD363" s="59"/>
      <c r="AE363" s="60"/>
      <c r="AF363" s="61"/>
      <c r="AG363" s="59"/>
      <c r="AH363" s="60"/>
      <c r="AI363" s="62"/>
      <c r="AJ363" s="62"/>
      <c r="AK363" s="63"/>
      <c r="AL363" s="64"/>
      <c r="AP363" s="65">
        <f t="shared" si="113"/>
        <v>0</v>
      </c>
      <c r="AQ363" s="16">
        <f t="shared" si="114"/>
        <v>1</v>
      </c>
      <c r="AR363" s="16">
        <f t="shared" si="115"/>
        <v>0</v>
      </c>
      <c r="AS363" s="66">
        <f t="shared" si="116"/>
        <v>0</v>
      </c>
      <c r="AT363" s="67">
        <f t="shared" si="117"/>
        <v>0</v>
      </c>
      <c r="AU363" s="68">
        <f t="shared" si="80"/>
        <v>0</v>
      </c>
      <c r="AV363" s="19">
        <f t="shared" si="118"/>
        <v>0</v>
      </c>
      <c r="AW363" s="69">
        <f t="shared" si="119"/>
        <v>0</v>
      </c>
      <c r="AY363" s="65">
        <f t="shared" si="120"/>
        <v>1</v>
      </c>
      <c r="AZ363" s="16">
        <f t="shared" si="121"/>
        <v>1</v>
      </c>
      <c r="BA363" s="16">
        <f t="shared" si="122"/>
        <v>1</v>
      </c>
      <c r="BB363" s="70">
        <f t="shared" si="123"/>
        <v>6201.6799999999994</v>
      </c>
      <c r="BC363" s="67">
        <f t="shared" si="124"/>
        <v>34519.800000000003</v>
      </c>
      <c r="BD363" s="71">
        <f t="shared" si="125"/>
        <v>2.7666666666666666</v>
      </c>
      <c r="BE363" s="19">
        <f t="shared" si="126"/>
        <v>7.8422062447627509E-3</v>
      </c>
      <c r="BF363" s="69">
        <f t="shared" si="127"/>
        <v>0</v>
      </c>
      <c r="BH363" s="72">
        <f t="shared" si="128"/>
        <v>34519.800000000003</v>
      </c>
      <c r="BI363" s="73">
        <f t="shared" si="129"/>
        <v>1</v>
      </c>
      <c r="BJ363" s="74">
        <f t="shared" si="130"/>
        <v>3.0688762338478598E-3</v>
      </c>
      <c r="BK363" s="75">
        <f t="shared" si="131"/>
        <v>0</v>
      </c>
      <c r="BM363" s="76">
        <f t="shared" si="132"/>
        <v>1</v>
      </c>
    </row>
    <row r="364" spans="1:65" ht="12.75" customHeight="1" x14ac:dyDescent="0.2">
      <c r="A364" s="47"/>
      <c r="B364" s="48" t="s">
        <v>731</v>
      </c>
      <c r="C364" s="49">
        <f>6135.8+48250</f>
        <v>54385.8</v>
      </c>
      <c r="D364" s="50">
        <v>13</v>
      </c>
      <c r="E364" s="49">
        <v>50903.4</v>
      </c>
      <c r="F364" s="50" t="s">
        <v>63</v>
      </c>
      <c r="G364" s="51">
        <v>45476</v>
      </c>
      <c r="H364" s="52" t="s">
        <v>542</v>
      </c>
      <c r="I364" s="51" t="s">
        <v>180</v>
      </c>
      <c r="J364" s="52" t="str">
        <f t="shared" si="186"/>
        <v>N/A</v>
      </c>
      <c r="K364" s="53" t="s">
        <v>180</v>
      </c>
      <c r="L364" s="53" t="s">
        <v>180</v>
      </c>
      <c r="M364" s="54"/>
      <c r="N364" s="54"/>
      <c r="O364" s="54"/>
      <c r="P364" s="54">
        <f t="shared" si="176"/>
        <v>0</v>
      </c>
      <c r="Q364" s="54">
        <f t="shared" si="177"/>
        <v>0</v>
      </c>
      <c r="R364" s="55" t="str">
        <f t="shared" si="178"/>
        <v>N/A</v>
      </c>
      <c r="S364" s="55" t="str">
        <f t="shared" si="179"/>
        <v>N/A</v>
      </c>
      <c r="T364" s="56"/>
      <c r="V364" s="57"/>
      <c r="W364" s="58"/>
      <c r="X364" s="58"/>
      <c r="Y364" s="58"/>
      <c r="Z364" s="58"/>
      <c r="AA364" s="58"/>
      <c r="AB364" s="58"/>
      <c r="AC364" s="58"/>
      <c r="AD364" s="59"/>
      <c r="AE364" s="60"/>
      <c r="AF364" s="61"/>
      <c r="AG364" s="59"/>
      <c r="AH364" s="60"/>
      <c r="AI364" s="62"/>
      <c r="AJ364" s="62"/>
      <c r="AK364" s="63"/>
      <c r="AL364" s="64"/>
      <c r="AP364" s="65">
        <f t="shared" si="113"/>
        <v>0</v>
      </c>
      <c r="AQ364" s="16">
        <f t="shared" si="114"/>
        <v>0</v>
      </c>
      <c r="AR364" s="16">
        <f t="shared" si="115"/>
        <v>0</v>
      </c>
      <c r="AS364" s="66">
        <f t="shared" si="116"/>
        <v>0</v>
      </c>
      <c r="AT364" s="67">
        <f t="shared" si="117"/>
        <v>0</v>
      </c>
      <c r="AU364" s="68">
        <f t="shared" si="80"/>
        <v>0</v>
      </c>
      <c r="AV364" s="19">
        <f t="shared" si="118"/>
        <v>0</v>
      </c>
      <c r="AW364" s="69">
        <f t="shared" si="119"/>
        <v>0</v>
      </c>
      <c r="AY364" s="65">
        <f t="shared" si="120"/>
        <v>1</v>
      </c>
      <c r="AZ364" s="16">
        <f t="shared" si="121"/>
        <v>0</v>
      </c>
      <c r="BA364" s="16">
        <f t="shared" si="122"/>
        <v>0</v>
      </c>
      <c r="BB364" s="70">
        <f t="shared" si="123"/>
        <v>0</v>
      </c>
      <c r="BC364" s="67">
        <f t="shared" si="124"/>
        <v>0</v>
      </c>
      <c r="BD364" s="71">
        <f t="shared" si="125"/>
        <v>0</v>
      </c>
      <c r="BE364" s="19">
        <f t="shared" si="126"/>
        <v>0</v>
      </c>
      <c r="BF364" s="69">
        <f t="shared" si="127"/>
        <v>0</v>
      </c>
      <c r="BH364" s="72">
        <f t="shared" si="128"/>
        <v>0</v>
      </c>
      <c r="BI364" s="73">
        <f t="shared" si="129"/>
        <v>0</v>
      </c>
      <c r="BJ364" s="74">
        <f t="shared" si="130"/>
        <v>0</v>
      </c>
      <c r="BK364" s="75">
        <f t="shared" si="131"/>
        <v>0</v>
      </c>
      <c r="BM364" s="76">
        <f t="shared" si="132"/>
        <v>1</v>
      </c>
    </row>
    <row r="365" spans="1:65" ht="12.75" customHeight="1" x14ac:dyDescent="0.2">
      <c r="A365" s="47"/>
      <c r="B365" s="48" t="s">
        <v>732</v>
      </c>
      <c r="C365" s="49">
        <v>47520</v>
      </c>
      <c r="D365" s="50">
        <v>13</v>
      </c>
      <c r="E365" s="49">
        <v>35061.279999999999</v>
      </c>
      <c r="F365" s="50" t="s">
        <v>63</v>
      </c>
      <c r="G365" s="51">
        <v>45386</v>
      </c>
      <c r="H365" s="52" t="s">
        <v>56</v>
      </c>
      <c r="I365" s="51">
        <v>45471</v>
      </c>
      <c r="J365" s="52">
        <f t="shared" si="186"/>
        <v>2.8333333333333335</v>
      </c>
      <c r="K365" s="53" t="s">
        <v>733</v>
      </c>
      <c r="L365" s="53">
        <v>46500</v>
      </c>
      <c r="M365" s="54">
        <v>65.789999999999992</v>
      </c>
      <c r="N365" s="77">
        <v>10315.509999999998</v>
      </c>
      <c r="O365" s="54">
        <v>1299.72</v>
      </c>
      <c r="P365" s="54">
        <f t="shared" si="176"/>
        <v>0</v>
      </c>
      <c r="Q365" s="54">
        <f t="shared" si="177"/>
        <v>242.29999999999814</v>
      </c>
      <c r="R365" s="55">
        <f t="shared" si="178"/>
        <v>6.910757393911407E-3</v>
      </c>
      <c r="S365" s="55">
        <f t="shared" si="179"/>
        <v>0.99308924260608855</v>
      </c>
      <c r="T365" s="56"/>
      <c r="V365" s="57"/>
      <c r="W365" s="58"/>
      <c r="X365" s="58"/>
      <c r="Y365" s="58"/>
      <c r="Z365" s="58"/>
      <c r="AA365" s="58"/>
      <c r="AB365" s="58"/>
      <c r="AC365" s="58"/>
      <c r="AD365" s="59"/>
      <c r="AE365" s="60"/>
      <c r="AF365" s="61"/>
      <c r="AG365" s="59"/>
      <c r="AH365" s="60"/>
      <c r="AI365" s="62"/>
      <c r="AJ365" s="62"/>
      <c r="AK365" s="63"/>
      <c r="AL365" s="64"/>
      <c r="AP365" s="65">
        <f t="shared" si="113"/>
        <v>0</v>
      </c>
      <c r="AQ365" s="16">
        <f t="shared" si="114"/>
        <v>1</v>
      </c>
      <c r="AR365" s="16">
        <f t="shared" si="115"/>
        <v>0</v>
      </c>
      <c r="AS365" s="66">
        <f t="shared" si="116"/>
        <v>0</v>
      </c>
      <c r="AT365" s="67">
        <f t="shared" si="117"/>
        <v>0</v>
      </c>
      <c r="AU365" s="68">
        <f t="shared" si="80"/>
        <v>0</v>
      </c>
      <c r="AV365" s="19">
        <f t="shared" si="118"/>
        <v>0</v>
      </c>
      <c r="AW365" s="69">
        <f t="shared" si="119"/>
        <v>0</v>
      </c>
      <c r="AY365" s="65">
        <f t="shared" si="120"/>
        <v>1</v>
      </c>
      <c r="AZ365" s="16">
        <f t="shared" si="121"/>
        <v>1</v>
      </c>
      <c r="BA365" s="16">
        <f t="shared" si="122"/>
        <v>1</v>
      </c>
      <c r="BB365" s="70">
        <f t="shared" si="123"/>
        <v>11615.229999999998</v>
      </c>
      <c r="BC365" s="67">
        <f t="shared" si="124"/>
        <v>35061.279999999999</v>
      </c>
      <c r="BD365" s="71">
        <f t="shared" si="125"/>
        <v>2.8333333333333335</v>
      </c>
      <c r="BE365" s="19">
        <f t="shared" si="126"/>
        <v>7.9652196410574597E-3</v>
      </c>
      <c r="BF365" s="69">
        <f t="shared" si="127"/>
        <v>5.5045700528566205E-5</v>
      </c>
      <c r="BH365" s="72">
        <f t="shared" si="128"/>
        <v>35061.279999999999</v>
      </c>
      <c r="BI365" s="73">
        <f t="shared" si="129"/>
        <v>1</v>
      </c>
      <c r="BJ365" s="74">
        <f t="shared" si="130"/>
        <v>3.1170148413456997E-3</v>
      </c>
      <c r="BK365" s="75">
        <f t="shared" si="131"/>
        <v>2.1540933361761384E-5</v>
      </c>
      <c r="BM365" s="76">
        <f t="shared" si="132"/>
        <v>1</v>
      </c>
    </row>
    <row r="366" spans="1:65" ht="12.75" customHeight="1" x14ac:dyDescent="0.2">
      <c r="A366" s="47"/>
      <c r="B366" s="48" t="s">
        <v>734</v>
      </c>
      <c r="C366" s="49">
        <v>40490.19</v>
      </c>
      <c r="D366" s="50">
        <v>13</v>
      </c>
      <c r="E366" s="49">
        <v>38303.11</v>
      </c>
      <c r="F366" s="50" t="s">
        <v>63</v>
      </c>
      <c r="G366" s="51">
        <v>45509</v>
      </c>
      <c r="H366" s="52" t="s">
        <v>56</v>
      </c>
      <c r="I366" s="51">
        <v>45687</v>
      </c>
      <c r="J366" s="52">
        <f t="shared" si="186"/>
        <v>5.9333333333333336</v>
      </c>
      <c r="K366" s="53" t="s">
        <v>735</v>
      </c>
      <c r="L366" s="53">
        <v>42000</v>
      </c>
      <c r="M366" s="54">
        <f>53.53+25.74+37.98+40.8+35.4+55.5</f>
        <v>248.95000000000002</v>
      </c>
      <c r="N366" s="54">
        <f>1135+202.75+275+719.05+2789.76+267.03+67+283.15+30+278+16+112+85.43+2100+101.43+85</f>
        <v>8546.6</v>
      </c>
      <c r="O366" s="54">
        <v>2159</v>
      </c>
      <c r="P366" s="54">
        <f t="shared" si="176"/>
        <v>0</v>
      </c>
      <c r="Q366" s="54">
        <f t="shared" si="177"/>
        <v>7257.6600000000008</v>
      </c>
      <c r="R366" s="55">
        <f t="shared" si="178"/>
        <v>0.18947965321875954</v>
      </c>
      <c r="S366" s="55">
        <f t="shared" si="179"/>
        <v>0.81052034678124052</v>
      </c>
      <c r="T366" s="56"/>
      <c r="V366" s="57"/>
      <c r="W366" s="58"/>
      <c r="X366" s="58"/>
      <c r="Y366" s="58"/>
      <c r="Z366" s="58"/>
      <c r="AA366" s="58"/>
      <c r="AB366" s="58"/>
      <c r="AC366" s="58"/>
      <c r="AD366" s="59"/>
      <c r="AE366" s="60"/>
      <c r="AF366" s="61"/>
      <c r="AG366" s="59"/>
      <c r="AH366" s="60"/>
      <c r="AI366" s="62"/>
      <c r="AJ366" s="62"/>
      <c r="AK366" s="63"/>
      <c r="AL366" s="64"/>
      <c r="AP366" s="65">
        <f t="shared" si="113"/>
        <v>0</v>
      </c>
      <c r="AQ366" s="16">
        <f t="shared" si="114"/>
        <v>1</v>
      </c>
      <c r="AR366" s="16">
        <f t="shared" si="115"/>
        <v>0</v>
      </c>
      <c r="AS366" s="66">
        <f t="shared" si="116"/>
        <v>0</v>
      </c>
      <c r="AT366" s="67">
        <f t="shared" si="117"/>
        <v>0</v>
      </c>
      <c r="AU366" s="68">
        <f t="shared" si="80"/>
        <v>0</v>
      </c>
      <c r="AV366" s="19">
        <f t="shared" si="118"/>
        <v>0</v>
      </c>
      <c r="AW366" s="69">
        <f t="shared" si="119"/>
        <v>0</v>
      </c>
      <c r="AY366" s="65">
        <f t="shared" si="120"/>
        <v>1</v>
      </c>
      <c r="AZ366" s="16">
        <f t="shared" si="121"/>
        <v>1</v>
      </c>
      <c r="BA366" s="16">
        <f t="shared" si="122"/>
        <v>1</v>
      </c>
      <c r="BB366" s="70">
        <f t="shared" si="123"/>
        <v>10705.6</v>
      </c>
      <c r="BC366" s="67">
        <f t="shared" si="124"/>
        <v>38303.11</v>
      </c>
      <c r="BD366" s="71">
        <f t="shared" si="125"/>
        <v>5.9333333333333336</v>
      </c>
      <c r="BE366" s="19">
        <f t="shared" si="126"/>
        <v>8.7016984002176879E-3</v>
      </c>
      <c r="BF366" s="69">
        <f t="shared" si="127"/>
        <v>1.6487947952874822E-3</v>
      </c>
      <c r="BH366" s="72">
        <f t="shared" si="128"/>
        <v>38303.11</v>
      </c>
      <c r="BI366" s="73">
        <f t="shared" si="129"/>
        <v>1</v>
      </c>
      <c r="BJ366" s="74">
        <f t="shared" si="130"/>
        <v>3.4052197278506913E-3</v>
      </c>
      <c r="BK366" s="75">
        <f t="shared" si="131"/>
        <v>6.452198531668277E-4</v>
      </c>
      <c r="BM366" s="76">
        <f t="shared" si="132"/>
        <v>1</v>
      </c>
    </row>
    <row r="367" spans="1:65" ht="12.75" customHeight="1" x14ac:dyDescent="0.2">
      <c r="A367" s="47"/>
      <c r="B367" s="48" t="s">
        <v>736</v>
      </c>
      <c r="C367" s="49">
        <v>40494.949999999997</v>
      </c>
      <c r="D367" s="50">
        <v>13</v>
      </c>
      <c r="E367" s="49">
        <v>39120.379999999997</v>
      </c>
      <c r="F367" s="50" t="s">
        <v>63</v>
      </c>
      <c r="G367" s="51">
        <v>45527</v>
      </c>
      <c r="H367" s="52" t="s">
        <v>542</v>
      </c>
      <c r="I367" s="51" t="s">
        <v>180</v>
      </c>
      <c r="J367" s="52" t="str">
        <f t="shared" si="186"/>
        <v>N/A</v>
      </c>
      <c r="K367" s="53" t="s">
        <v>180</v>
      </c>
      <c r="L367" s="53" t="s">
        <v>180</v>
      </c>
      <c r="M367" s="54"/>
      <c r="N367" s="54"/>
      <c r="O367" s="54"/>
      <c r="P367" s="54">
        <f t="shared" si="176"/>
        <v>0</v>
      </c>
      <c r="Q367" s="54">
        <f t="shared" si="177"/>
        <v>0</v>
      </c>
      <c r="R367" s="55" t="str">
        <f t="shared" si="178"/>
        <v>N/A</v>
      </c>
      <c r="S367" s="55" t="str">
        <f t="shared" si="179"/>
        <v>N/A</v>
      </c>
      <c r="T367" s="56"/>
      <c r="V367" s="57"/>
      <c r="W367" s="58"/>
      <c r="X367" s="58"/>
      <c r="Y367" s="58"/>
      <c r="Z367" s="58"/>
      <c r="AA367" s="58"/>
      <c r="AB367" s="58"/>
      <c r="AC367" s="58"/>
      <c r="AD367" s="59"/>
      <c r="AE367" s="60"/>
      <c r="AF367" s="61"/>
      <c r="AG367" s="59"/>
      <c r="AH367" s="60"/>
      <c r="AI367" s="62"/>
      <c r="AJ367" s="62"/>
      <c r="AK367" s="63"/>
      <c r="AL367" s="64"/>
      <c r="AP367" s="65">
        <f t="shared" si="113"/>
        <v>0</v>
      </c>
      <c r="AQ367" s="16">
        <f t="shared" si="114"/>
        <v>0</v>
      </c>
      <c r="AR367" s="16">
        <f t="shared" si="115"/>
        <v>0</v>
      </c>
      <c r="AS367" s="66">
        <f t="shared" si="116"/>
        <v>0</v>
      </c>
      <c r="AT367" s="67">
        <f t="shared" si="117"/>
        <v>0</v>
      </c>
      <c r="AU367" s="68">
        <f t="shared" si="80"/>
        <v>0</v>
      </c>
      <c r="AV367" s="19">
        <f t="shared" si="118"/>
        <v>0</v>
      </c>
      <c r="AW367" s="69">
        <f t="shared" si="119"/>
        <v>0</v>
      </c>
      <c r="AY367" s="65">
        <f t="shared" si="120"/>
        <v>1</v>
      </c>
      <c r="AZ367" s="16">
        <f t="shared" si="121"/>
        <v>0</v>
      </c>
      <c r="BA367" s="16">
        <f t="shared" si="122"/>
        <v>0</v>
      </c>
      <c r="BB367" s="70">
        <f t="shared" si="123"/>
        <v>0</v>
      </c>
      <c r="BC367" s="67">
        <f t="shared" si="124"/>
        <v>0</v>
      </c>
      <c r="BD367" s="71">
        <f t="shared" si="125"/>
        <v>0</v>
      </c>
      <c r="BE367" s="19">
        <f t="shared" si="126"/>
        <v>0</v>
      </c>
      <c r="BF367" s="69">
        <f t="shared" si="127"/>
        <v>0</v>
      </c>
      <c r="BH367" s="72">
        <f t="shared" si="128"/>
        <v>0</v>
      </c>
      <c r="BI367" s="73">
        <f t="shared" si="129"/>
        <v>0</v>
      </c>
      <c r="BJ367" s="74">
        <f t="shared" si="130"/>
        <v>0</v>
      </c>
      <c r="BK367" s="75">
        <f t="shared" si="131"/>
        <v>0</v>
      </c>
      <c r="BM367" s="76">
        <f t="shared" si="132"/>
        <v>1</v>
      </c>
    </row>
    <row r="368" spans="1:65" ht="12.75" customHeight="1" x14ac:dyDescent="0.2">
      <c r="A368" s="47"/>
      <c r="B368" s="48" t="s">
        <v>737</v>
      </c>
      <c r="C368" s="49">
        <v>40375.949999999997</v>
      </c>
      <c r="D368" s="50">
        <v>13</v>
      </c>
      <c r="E368" s="49">
        <v>40059.15</v>
      </c>
      <c r="F368" s="50" t="s">
        <v>55</v>
      </c>
      <c r="G368" s="51">
        <v>45527</v>
      </c>
      <c r="H368" s="52" t="s">
        <v>56</v>
      </c>
      <c r="I368" s="51">
        <v>45776</v>
      </c>
      <c r="J368" s="52">
        <f t="shared" si="186"/>
        <v>8.3000000000000007</v>
      </c>
      <c r="K368" s="53" t="s">
        <v>738</v>
      </c>
      <c r="L368" s="53">
        <v>43000</v>
      </c>
      <c r="M368" s="54">
        <v>1966.8</v>
      </c>
      <c r="N368" s="54">
        <v>9206.98</v>
      </c>
      <c r="O368" s="54">
        <v>0</v>
      </c>
      <c r="P368" s="54">
        <f t="shared" si="176"/>
        <v>0</v>
      </c>
      <c r="Q368" s="54">
        <f t="shared" si="177"/>
        <v>8232.93</v>
      </c>
      <c r="R368" s="55">
        <f t="shared" si="178"/>
        <v>0.20551933827852065</v>
      </c>
      <c r="S368" s="55">
        <f t="shared" si="179"/>
        <v>0.79448066172147935</v>
      </c>
      <c r="T368" s="56"/>
      <c r="V368" s="57"/>
      <c r="W368" s="58"/>
      <c r="X368" s="58"/>
      <c r="Y368" s="58"/>
      <c r="Z368" s="58"/>
      <c r="AA368" s="58"/>
      <c r="AB368" s="58"/>
      <c r="AC368" s="58"/>
      <c r="AD368" s="59"/>
      <c r="AE368" s="60"/>
      <c r="AF368" s="61"/>
      <c r="AG368" s="59"/>
      <c r="AH368" s="60"/>
      <c r="AI368" s="62"/>
      <c r="AJ368" s="62"/>
      <c r="AK368" s="63"/>
      <c r="AL368" s="64"/>
      <c r="AP368" s="65">
        <f t="shared" si="113"/>
        <v>1</v>
      </c>
      <c r="AQ368" s="16">
        <f t="shared" si="114"/>
        <v>1</v>
      </c>
      <c r="AR368" s="16">
        <f t="shared" si="115"/>
        <v>1</v>
      </c>
      <c r="AS368" s="66">
        <f t="shared" si="116"/>
        <v>9206.98</v>
      </c>
      <c r="AT368" s="67">
        <f t="shared" si="117"/>
        <v>40059.15</v>
      </c>
      <c r="AU368" s="68">
        <f t="shared" si="80"/>
        <v>8.3000000000000007</v>
      </c>
      <c r="AV368" s="19">
        <f t="shared" si="118"/>
        <v>5.8509937176506538E-3</v>
      </c>
      <c r="AW368" s="69">
        <f t="shared" si="119"/>
        <v>1.2024923571233438E-3</v>
      </c>
      <c r="AY368" s="65">
        <f t="shared" si="120"/>
        <v>0</v>
      </c>
      <c r="AZ368" s="16">
        <f t="shared" si="121"/>
        <v>1</v>
      </c>
      <c r="BA368" s="16">
        <f t="shared" si="122"/>
        <v>0</v>
      </c>
      <c r="BB368" s="70">
        <f t="shared" si="123"/>
        <v>0</v>
      </c>
      <c r="BC368" s="67">
        <f t="shared" si="124"/>
        <v>0</v>
      </c>
      <c r="BD368" s="71">
        <f t="shared" si="125"/>
        <v>0</v>
      </c>
      <c r="BE368" s="19">
        <f t="shared" si="126"/>
        <v>0</v>
      </c>
      <c r="BF368" s="69">
        <f t="shared" si="127"/>
        <v>0</v>
      </c>
      <c r="BH368" s="72">
        <f t="shared" si="128"/>
        <v>40059.15</v>
      </c>
      <c r="BI368" s="73">
        <f t="shared" si="129"/>
        <v>1</v>
      </c>
      <c r="BJ368" s="74">
        <f t="shared" si="130"/>
        <v>3.561335042009122E-3</v>
      </c>
      <c r="BK368" s="75">
        <f t="shared" si="131"/>
        <v>7.3192322122182232E-4</v>
      </c>
      <c r="BM368" s="76">
        <f t="shared" si="132"/>
        <v>1</v>
      </c>
    </row>
    <row r="369" spans="1:72" ht="12.75" customHeight="1" x14ac:dyDescent="0.2">
      <c r="A369" s="47"/>
      <c r="B369" s="48" t="s">
        <v>739</v>
      </c>
      <c r="C369" s="49">
        <v>37799.019999999997</v>
      </c>
      <c r="D369" s="50">
        <v>13</v>
      </c>
      <c r="E369" s="49">
        <v>27555.9</v>
      </c>
      <c r="F369" s="50" t="s">
        <v>63</v>
      </c>
      <c r="G369" s="51">
        <v>45575</v>
      </c>
      <c r="H369" s="52" t="s">
        <v>56</v>
      </c>
      <c r="I369" s="51">
        <v>45782</v>
      </c>
      <c r="J369" s="52">
        <v>10.633333333333333</v>
      </c>
      <c r="K369" s="53" t="s">
        <v>740</v>
      </c>
      <c r="L369" s="53">
        <v>38500</v>
      </c>
      <c r="M369" s="54">
        <v>1664.31</v>
      </c>
      <c r="N369" s="54">
        <v>9206.98</v>
      </c>
      <c r="O369" s="54"/>
      <c r="P369" s="54">
        <f t="shared" si="176"/>
        <v>0</v>
      </c>
      <c r="Q369" s="54">
        <f t="shared" si="177"/>
        <v>0</v>
      </c>
      <c r="R369" s="55">
        <f t="shared" si="178"/>
        <v>0</v>
      </c>
      <c r="S369" s="55">
        <f t="shared" si="179"/>
        <v>1</v>
      </c>
      <c r="T369" s="56"/>
      <c r="V369" s="57"/>
      <c r="W369" s="58"/>
      <c r="X369" s="58"/>
      <c r="Y369" s="58"/>
      <c r="Z369" s="58"/>
      <c r="AA369" s="58"/>
      <c r="AB369" s="58"/>
      <c r="AC369" s="58"/>
      <c r="AD369" s="59"/>
      <c r="AE369" s="60"/>
      <c r="AF369" s="61"/>
      <c r="AG369" s="59"/>
      <c r="AH369" s="60"/>
      <c r="AI369" s="62"/>
      <c r="AJ369" s="62"/>
      <c r="AK369" s="63"/>
      <c r="AL369" s="64"/>
      <c r="AP369" s="65">
        <f t="shared" si="113"/>
        <v>0</v>
      </c>
      <c r="AQ369" s="16">
        <f t="shared" si="114"/>
        <v>1</v>
      </c>
      <c r="AR369" s="16">
        <f t="shared" si="115"/>
        <v>0</v>
      </c>
      <c r="AS369" s="66">
        <f t="shared" si="116"/>
        <v>0</v>
      </c>
      <c r="AT369" s="67">
        <f t="shared" si="117"/>
        <v>0</v>
      </c>
      <c r="AU369" s="68">
        <f t="shared" si="80"/>
        <v>0</v>
      </c>
      <c r="AV369" s="19">
        <f t="shared" si="118"/>
        <v>0</v>
      </c>
      <c r="AW369" s="69">
        <f t="shared" si="119"/>
        <v>0</v>
      </c>
      <c r="AY369" s="65">
        <f t="shared" si="120"/>
        <v>1</v>
      </c>
      <c r="AZ369" s="16">
        <f t="shared" si="121"/>
        <v>1</v>
      </c>
      <c r="BA369" s="16">
        <f t="shared" si="122"/>
        <v>1</v>
      </c>
      <c r="BB369" s="70">
        <f t="shared" si="123"/>
        <v>9206.98</v>
      </c>
      <c r="BC369" s="67">
        <f t="shared" si="124"/>
        <v>27555.9</v>
      </c>
      <c r="BD369" s="71">
        <f t="shared" si="125"/>
        <v>10.633333333333333</v>
      </c>
      <c r="BE369" s="19">
        <f t="shared" si="126"/>
        <v>6.260147829942754E-3</v>
      </c>
      <c r="BF369" s="69">
        <f t="shared" si="127"/>
        <v>0</v>
      </c>
      <c r="BH369" s="72">
        <f t="shared" si="128"/>
        <v>27555.9</v>
      </c>
      <c r="BI369" s="73">
        <f t="shared" si="129"/>
        <v>1</v>
      </c>
      <c r="BJ369" s="74">
        <f t="shared" si="130"/>
        <v>2.449772206452188E-3</v>
      </c>
      <c r="BK369" s="75">
        <f t="shared" si="131"/>
        <v>0</v>
      </c>
      <c r="BM369" s="76">
        <f t="shared" si="132"/>
        <v>1</v>
      </c>
    </row>
    <row r="370" spans="1:72" ht="12.75" customHeight="1" x14ac:dyDescent="0.2">
      <c r="A370" s="47"/>
      <c r="B370" s="48" t="s">
        <v>741</v>
      </c>
      <c r="C370" s="49">
        <v>30000</v>
      </c>
      <c r="D370" s="50">
        <v>13</v>
      </c>
      <c r="E370" s="49">
        <v>29692.12</v>
      </c>
      <c r="F370" s="50" t="s">
        <v>55</v>
      </c>
      <c r="G370" s="51">
        <v>45581</v>
      </c>
      <c r="H370" s="52" t="s">
        <v>56</v>
      </c>
      <c r="I370" s="51">
        <v>45743</v>
      </c>
      <c r="J370" s="52">
        <f t="shared" ref="J370:J378" si="187">IF(I370="Active",0,(IF(I370="N/A","N/A",(I370-G370)/30)))</f>
        <v>5.4</v>
      </c>
      <c r="K370" s="53" t="s">
        <v>742</v>
      </c>
      <c r="L370" s="53">
        <v>44800</v>
      </c>
      <c r="M370" s="54">
        <v>1618.84</v>
      </c>
      <c r="N370" s="54">
        <v>9978.17</v>
      </c>
      <c r="O370" s="54"/>
      <c r="P370" s="54">
        <f t="shared" si="176"/>
        <v>0</v>
      </c>
      <c r="Q370" s="54">
        <f t="shared" si="177"/>
        <v>0</v>
      </c>
      <c r="R370" s="55">
        <f t="shared" si="178"/>
        <v>0</v>
      </c>
      <c r="S370" s="55">
        <f t="shared" si="179"/>
        <v>1</v>
      </c>
      <c r="T370" s="56"/>
      <c r="V370" s="57"/>
      <c r="W370" s="58"/>
      <c r="X370" s="58"/>
      <c r="Y370" s="58"/>
      <c r="Z370" s="58"/>
      <c r="AA370" s="58"/>
      <c r="AB370" s="58"/>
      <c r="AC370" s="58"/>
      <c r="AD370" s="59"/>
      <c r="AE370" s="60"/>
      <c r="AF370" s="61"/>
      <c r="AG370" s="59"/>
      <c r="AH370" s="60"/>
      <c r="AI370" s="62"/>
      <c r="AJ370" s="62"/>
      <c r="AK370" s="63"/>
      <c r="AL370" s="64"/>
      <c r="AP370" s="65">
        <f t="shared" si="113"/>
        <v>1</v>
      </c>
      <c r="AQ370" s="16">
        <f t="shared" si="114"/>
        <v>1</v>
      </c>
      <c r="AR370" s="16">
        <f t="shared" si="115"/>
        <v>1</v>
      </c>
      <c r="AS370" s="66">
        <f t="shared" si="116"/>
        <v>9978.17</v>
      </c>
      <c r="AT370" s="67">
        <f t="shared" si="117"/>
        <v>29692.12</v>
      </c>
      <c r="AU370" s="68">
        <f t="shared" si="80"/>
        <v>5.4</v>
      </c>
      <c r="AV370" s="19">
        <f t="shared" si="118"/>
        <v>4.3367971508064774E-3</v>
      </c>
      <c r="AW370" s="69">
        <f t="shared" si="119"/>
        <v>0</v>
      </c>
      <c r="AY370" s="65">
        <f t="shared" si="120"/>
        <v>0</v>
      </c>
      <c r="AZ370" s="16">
        <f t="shared" si="121"/>
        <v>1</v>
      </c>
      <c r="BA370" s="16">
        <f t="shared" si="122"/>
        <v>0</v>
      </c>
      <c r="BB370" s="70">
        <f t="shared" si="123"/>
        <v>0</v>
      </c>
      <c r="BC370" s="67">
        <f t="shared" si="124"/>
        <v>0</v>
      </c>
      <c r="BD370" s="71">
        <f t="shared" si="125"/>
        <v>0</v>
      </c>
      <c r="BE370" s="19">
        <f t="shared" si="126"/>
        <v>0</v>
      </c>
      <c r="BF370" s="69">
        <f t="shared" si="127"/>
        <v>0</v>
      </c>
      <c r="BH370" s="72">
        <f t="shared" si="128"/>
        <v>29692.12</v>
      </c>
      <c r="BI370" s="73">
        <f t="shared" si="129"/>
        <v>1</v>
      </c>
      <c r="BJ370" s="74">
        <f t="shared" si="130"/>
        <v>2.6396862496468319E-3</v>
      </c>
      <c r="BK370" s="75">
        <f t="shared" si="131"/>
        <v>0</v>
      </c>
      <c r="BM370" s="76">
        <f t="shared" si="132"/>
        <v>1</v>
      </c>
    </row>
    <row r="371" spans="1:72" ht="12.75" customHeight="1" x14ac:dyDescent="0.2">
      <c r="A371" s="47"/>
      <c r="B371" s="48" t="s">
        <v>743</v>
      </c>
      <c r="C371" s="49">
        <f>26706+25000</f>
        <v>51706</v>
      </c>
      <c r="D371" s="50">
        <v>13</v>
      </c>
      <c r="E371" s="49">
        <f>22582.63+23917.96</f>
        <v>46500.59</v>
      </c>
      <c r="F371" s="50" t="s">
        <v>63</v>
      </c>
      <c r="G371" s="51">
        <v>45617</v>
      </c>
      <c r="H371" s="52" t="s">
        <v>56</v>
      </c>
      <c r="I371" s="51">
        <v>45868</v>
      </c>
      <c r="J371" s="52">
        <f t="shared" si="187"/>
        <v>8.3666666666666671</v>
      </c>
      <c r="K371" s="53" t="s">
        <v>744</v>
      </c>
      <c r="L371" s="53">
        <f>46500.59+13499.41</f>
        <v>60000</v>
      </c>
      <c r="M371" s="54">
        <v>3003.41</v>
      </c>
      <c r="N371" s="54">
        <v>7967.94</v>
      </c>
      <c r="O371" s="54">
        <v>3097.37</v>
      </c>
      <c r="P371" s="54">
        <f t="shared" si="176"/>
        <v>0</v>
      </c>
      <c r="Q371" s="54">
        <f t="shared" si="177"/>
        <v>569.30999999999585</v>
      </c>
      <c r="R371" s="55">
        <f t="shared" si="178"/>
        <v>1.2243070464267139E-2</v>
      </c>
      <c r="S371" s="55">
        <f t="shared" si="179"/>
        <v>0.98775692953573291</v>
      </c>
      <c r="T371" s="56"/>
      <c r="V371" s="57"/>
      <c r="W371" s="58"/>
      <c r="X371" s="58"/>
      <c r="Y371" s="58"/>
      <c r="Z371" s="58"/>
      <c r="AA371" s="58"/>
      <c r="AB371" s="58"/>
      <c r="AC371" s="58"/>
      <c r="AD371" s="59"/>
      <c r="AE371" s="60"/>
      <c r="AF371" s="61"/>
      <c r="AG371" s="59"/>
      <c r="AH371" s="60"/>
      <c r="AI371" s="62"/>
      <c r="AJ371" s="62"/>
      <c r="AK371" s="63"/>
      <c r="AL371" s="64"/>
      <c r="AP371" s="65">
        <f t="shared" si="113"/>
        <v>0</v>
      </c>
      <c r="AQ371" s="16">
        <f t="shared" si="114"/>
        <v>1</v>
      </c>
      <c r="AR371" s="16">
        <f t="shared" si="115"/>
        <v>0</v>
      </c>
      <c r="AS371" s="66">
        <f t="shared" si="116"/>
        <v>0</v>
      </c>
      <c r="AT371" s="67">
        <f t="shared" si="117"/>
        <v>0</v>
      </c>
      <c r="AU371" s="68">
        <f t="shared" si="80"/>
        <v>0</v>
      </c>
      <c r="AV371" s="19">
        <f t="shared" si="118"/>
        <v>0</v>
      </c>
      <c r="AW371" s="69">
        <f t="shared" si="119"/>
        <v>0</v>
      </c>
      <c r="AY371" s="65">
        <f t="shared" si="120"/>
        <v>1</v>
      </c>
      <c r="AZ371" s="16">
        <f t="shared" si="121"/>
        <v>1</v>
      </c>
      <c r="BA371" s="16">
        <f t="shared" si="122"/>
        <v>1</v>
      </c>
      <c r="BB371" s="70">
        <f t="shared" si="123"/>
        <v>11065.31</v>
      </c>
      <c r="BC371" s="67">
        <f t="shared" si="124"/>
        <v>46500.59</v>
      </c>
      <c r="BD371" s="71">
        <f t="shared" si="125"/>
        <v>8.3666666666666671</v>
      </c>
      <c r="BE371" s="19">
        <f t="shared" si="126"/>
        <v>1.0564001450852909E-2</v>
      </c>
      <c r="BF371" s="69">
        <f t="shared" si="127"/>
        <v>1.2933581414741244E-4</v>
      </c>
      <c r="BH371" s="72">
        <f t="shared" si="128"/>
        <v>46500.59</v>
      </c>
      <c r="BI371" s="73">
        <f t="shared" si="129"/>
        <v>1</v>
      </c>
      <c r="BJ371" s="74">
        <f t="shared" si="130"/>
        <v>4.1339913762797999E-3</v>
      </c>
      <c r="BK371" s="75">
        <f t="shared" si="131"/>
        <v>5.0612747718466274E-5</v>
      </c>
      <c r="BM371" s="76">
        <f t="shared" si="132"/>
        <v>1</v>
      </c>
    </row>
    <row r="372" spans="1:72" ht="12.75" customHeight="1" x14ac:dyDescent="0.2">
      <c r="A372" s="47"/>
      <c r="B372" s="48" t="s">
        <v>745</v>
      </c>
      <c r="C372" s="49">
        <v>76576.5</v>
      </c>
      <c r="D372" s="50">
        <v>13</v>
      </c>
      <c r="E372" s="49">
        <v>71244.7</v>
      </c>
      <c r="F372" s="50" t="s">
        <v>63</v>
      </c>
      <c r="G372" s="51">
        <v>45628</v>
      </c>
      <c r="H372" s="52" t="s">
        <v>56</v>
      </c>
      <c r="I372" s="51">
        <v>45656</v>
      </c>
      <c r="J372" s="52">
        <f t="shared" si="187"/>
        <v>0.93333333333333335</v>
      </c>
      <c r="K372" s="53" t="s">
        <v>746</v>
      </c>
      <c r="L372" s="53">
        <v>80000</v>
      </c>
      <c r="M372" s="54">
        <v>1318.8600000000001</v>
      </c>
      <c r="N372" s="54">
        <v>11733</v>
      </c>
      <c r="O372" s="54">
        <v>106.25</v>
      </c>
      <c r="P372" s="54">
        <f t="shared" si="176"/>
        <v>0</v>
      </c>
      <c r="Q372" s="54">
        <f t="shared" si="177"/>
        <v>4402.8099999999977</v>
      </c>
      <c r="R372" s="55">
        <f t="shared" si="178"/>
        <v>6.179842149661656E-2</v>
      </c>
      <c r="S372" s="55">
        <f t="shared" si="179"/>
        <v>0.93820157850338348</v>
      </c>
      <c r="T372" s="56"/>
      <c r="V372" s="57"/>
      <c r="W372" s="58"/>
      <c r="X372" s="58"/>
      <c r="Y372" s="58"/>
      <c r="Z372" s="58"/>
      <c r="AA372" s="58"/>
      <c r="AB372" s="58"/>
      <c r="AC372" s="58"/>
      <c r="AD372" s="59"/>
      <c r="AE372" s="60"/>
      <c r="AF372" s="61"/>
      <c r="AG372" s="59"/>
      <c r="AH372" s="60"/>
      <c r="AI372" s="62"/>
      <c r="AJ372" s="62"/>
      <c r="AK372" s="63"/>
      <c r="AL372" s="64"/>
      <c r="AP372" s="65">
        <f t="shared" si="113"/>
        <v>0</v>
      </c>
      <c r="AQ372" s="16">
        <f t="shared" si="114"/>
        <v>1</v>
      </c>
      <c r="AR372" s="16">
        <f t="shared" si="115"/>
        <v>0</v>
      </c>
      <c r="AS372" s="66">
        <f t="shared" si="116"/>
        <v>0</v>
      </c>
      <c r="AT372" s="67">
        <f t="shared" si="117"/>
        <v>0</v>
      </c>
      <c r="AU372" s="68">
        <f t="shared" si="80"/>
        <v>0</v>
      </c>
      <c r="AV372" s="19">
        <f t="shared" si="118"/>
        <v>0</v>
      </c>
      <c r="AW372" s="69">
        <f t="shared" si="119"/>
        <v>0</v>
      </c>
      <c r="AY372" s="65">
        <f t="shared" si="120"/>
        <v>1</v>
      </c>
      <c r="AZ372" s="16">
        <f t="shared" si="121"/>
        <v>1</v>
      </c>
      <c r="BA372" s="16">
        <f t="shared" si="122"/>
        <v>1</v>
      </c>
      <c r="BB372" s="70">
        <f t="shared" si="123"/>
        <v>11839.25</v>
      </c>
      <c r="BC372" s="67">
        <f t="shared" si="124"/>
        <v>71244.7</v>
      </c>
      <c r="BD372" s="71">
        <f t="shared" si="125"/>
        <v>0.93333333333333335</v>
      </c>
      <c r="BE372" s="19">
        <f t="shared" si="126"/>
        <v>1.6185366984926005E-2</v>
      </c>
      <c r="BF372" s="69">
        <f t="shared" si="127"/>
        <v>1.0002301310118793E-3</v>
      </c>
      <c r="BH372" s="72">
        <f t="shared" si="128"/>
        <v>71244.7</v>
      </c>
      <c r="BI372" s="73">
        <f t="shared" si="129"/>
        <v>1</v>
      </c>
      <c r="BJ372" s="74">
        <f t="shared" si="130"/>
        <v>6.3337900746128486E-3</v>
      </c>
      <c r="BK372" s="75">
        <f t="shared" si="131"/>
        <v>3.9141822870201125E-4</v>
      </c>
      <c r="BM372" s="76">
        <f t="shared" si="132"/>
        <v>1</v>
      </c>
    </row>
    <row r="373" spans="1:72" ht="12.75" customHeight="1" x14ac:dyDescent="0.2">
      <c r="A373" s="47"/>
      <c r="B373" s="48" t="s">
        <v>747</v>
      </c>
      <c r="C373" s="49">
        <v>35400</v>
      </c>
      <c r="D373" s="50">
        <v>13</v>
      </c>
      <c r="E373" s="49">
        <v>29882.720000000001</v>
      </c>
      <c r="F373" s="50" t="s">
        <v>55</v>
      </c>
      <c r="G373" s="51">
        <v>45623</v>
      </c>
      <c r="H373" s="52" t="s">
        <v>56</v>
      </c>
      <c r="I373" s="51">
        <v>45715</v>
      </c>
      <c r="J373" s="52">
        <f t="shared" si="187"/>
        <v>3.0666666666666669</v>
      </c>
      <c r="K373" s="53" t="s">
        <v>748</v>
      </c>
      <c r="L373" s="53">
        <v>49500</v>
      </c>
      <c r="M373" s="54">
        <v>17.29</v>
      </c>
      <c r="N373" s="54">
        <v>10947.27</v>
      </c>
      <c r="O373" s="54">
        <v>0</v>
      </c>
      <c r="P373" s="54">
        <f t="shared" si="176"/>
        <v>0</v>
      </c>
      <c r="Q373" s="54">
        <f t="shared" si="177"/>
        <v>0</v>
      </c>
      <c r="R373" s="55">
        <f t="shared" si="178"/>
        <v>0</v>
      </c>
      <c r="S373" s="55">
        <f t="shared" si="179"/>
        <v>1</v>
      </c>
      <c r="T373" s="56"/>
      <c r="V373" s="57"/>
      <c r="W373" s="58"/>
      <c r="X373" s="58"/>
      <c r="Y373" s="58"/>
      <c r="Z373" s="58"/>
      <c r="AA373" s="58"/>
      <c r="AB373" s="58"/>
      <c r="AC373" s="58"/>
      <c r="AD373" s="59"/>
      <c r="AE373" s="60"/>
      <c r="AF373" s="61"/>
      <c r="AG373" s="59"/>
      <c r="AH373" s="60"/>
      <c r="AI373" s="62"/>
      <c r="AJ373" s="62"/>
      <c r="AK373" s="63"/>
      <c r="AL373" s="64"/>
      <c r="AP373" s="65">
        <f t="shared" si="113"/>
        <v>1</v>
      </c>
      <c r="AQ373" s="16">
        <f t="shared" si="114"/>
        <v>1</v>
      </c>
      <c r="AR373" s="16">
        <f t="shared" si="115"/>
        <v>1</v>
      </c>
      <c r="AS373" s="66">
        <f t="shared" si="116"/>
        <v>10947.27</v>
      </c>
      <c r="AT373" s="67">
        <f t="shared" si="117"/>
        <v>29882.720000000001</v>
      </c>
      <c r="AU373" s="68">
        <f t="shared" si="80"/>
        <v>3.0666666666666669</v>
      </c>
      <c r="AV373" s="19">
        <f t="shared" si="118"/>
        <v>4.364635969218357E-3</v>
      </c>
      <c r="AW373" s="69">
        <f t="shared" si="119"/>
        <v>0</v>
      </c>
      <c r="AY373" s="65">
        <f t="shared" si="120"/>
        <v>0</v>
      </c>
      <c r="AZ373" s="16">
        <f t="shared" si="121"/>
        <v>1</v>
      </c>
      <c r="BA373" s="16">
        <f t="shared" si="122"/>
        <v>0</v>
      </c>
      <c r="BB373" s="70">
        <f t="shared" si="123"/>
        <v>0</v>
      </c>
      <c r="BC373" s="67">
        <f t="shared" si="124"/>
        <v>0</v>
      </c>
      <c r="BD373" s="71">
        <f t="shared" si="125"/>
        <v>0</v>
      </c>
      <c r="BE373" s="19">
        <f t="shared" si="126"/>
        <v>0</v>
      </c>
      <c r="BF373" s="69">
        <f t="shared" si="127"/>
        <v>0</v>
      </c>
      <c r="BH373" s="72">
        <f t="shared" si="128"/>
        <v>29882.720000000001</v>
      </c>
      <c r="BI373" s="73">
        <f t="shared" si="129"/>
        <v>1</v>
      </c>
      <c r="BJ373" s="74">
        <f t="shared" si="130"/>
        <v>2.6566309541402361E-3</v>
      </c>
      <c r="BK373" s="75">
        <f t="shared" si="131"/>
        <v>0</v>
      </c>
      <c r="BM373" s="76">
        <f t="shared" si="132"/>
        <v>1</v>
      </c>
    </row>
    <row r="374" spans="1:72" ht="12.75" customHeight="1" x14ac:dyDescent="0.2">
      <c r="A374" s="47"/>
      <c r="B374" s="48" t="s">
        <v>749</v>
      </c>
      <c r="C374" s="49">
        <v>42750</v>
      </c>
      <c r="D374" s="50">
        <v>13</v>
      </c>
      <c r="E374" s="49">
        <v>40844.089999999997</v>
      </c>
      <c r="F374" s="50" t="s">
        <v>55</v>
      </c>
      <c r="G374" s="51">
        <v>45660</v>
      </c>
      <c r="H374" s="52" t="s">
        <v>542</v>
      </c>
      <c r="I374" s="51" t="s">
        <v>180</v>
      </c>
      <c r="J374" s="52" t="str">
        <f t="shared" si="187"/>
        <v>N/A</v>
      </c>
      <c r="K374" s="53" t="s">
        <v>180</v>
      </c>
      <c r="L374" s="53" t="s">
        <v>180</v>
      </c>
      <c r="M374" s="54"/>
      <c r="N374" s="54"/>
      <c r="O374" s="54"/>
      <c r="P374" s="54">
        <f t="shared" si="176"/>
        <v>0</v>
      </c>
      <c r="Q374" s="54">
        <f t="shared" si="177"/>
        <v>0</v>
      </c>
      <c r="R374" s="55" t="str">
        <f t="shared" si="178"/>
        <v>N/A</v>
      </c>
      <c r="S374" s="55" t="str">
        <f t="shared" si="179"/>
        <v>N/A</v>
      </c>
      <c r="T374" s="56"/>
      <c r="V374" s="57"/>
      <c r="W374" s="58"/>
      <c r="X374" s="58"/>
      <c r="Y374" s="58"/>
      <c r="Z374" s="58"/>
      <c r="AA374" s="58"/>
      <c r="AB374" s="58"/>
      <c r="AC374" s="58"/>
      <c r="AD374" s="59"/>
      <c r="AE374" s="60"/>
      <c r="AF374" s="61"/>
      <c r="AG374" s="59"/>
      <c r="AH374" s="60"/>
      <c r="AI374" s="62"/>
      <c r="AJ374" s="62"/>
      <c r="AK374" s="63"/>
      <c r="AL374" s="64"/>
      <c r="AP374" s="65">
        <f t="shared" si="113"/>
        <v>1</v>
      </c>
      <c r="AQ374" s="16">
        <f t="shared" si="114"/>
        <v>0</v>
      </c>
      <c r="AR374" s="16">
        <f t="shared" si="115"/>
        <v>0</v>
      </c>
      <c r="AS374" s="66">
        <f t="shared" si="116"/>
        <v>0</v>
      </c>
      <c r="AT374" s="67">
        <f t="shared" si="117"/>
        <v>0</v>
      </c>
      <c r="AU374" s="68">
        <f t="shared" si="80"/>
        <v>0</v>
      </c>
      <c r="AV374" s="19">
        <f t="shared" si="118"/>
        <v>0</v>
      </c>
      <c r="AW374" s="69">
        <f t="shared" si="119"/>
        <v>0</v>
      </c>
      <c r="AY374" s="65">
        <f t="shared" si="120"/>
        <v>0</v>
      </c>
      <c r="AZ374" s="16">
        <f t="shared" si="121"/>
        <v>0</v>
      </c>
      <c r="BA374" s="16">
        <f t="shared" si="122"/>
        <v>0</v>
      </c>
      <c r="BB374" s="70">
        <f t="shared" si="123"/>
        <v>0</v>
      </c>
      <c r="BC374" s="67">
        <f t="shared" si="124"/>
        <v>0</v>
      </c>
      <c r="BD374" s="71">
        <f t="shared" si="125"/>
        <v>0</v>
      </c>
      <c r="BE374" s="19">
        <f t="shared" si="126"/>
        <v>0</v>
      </c>
      <c r="BF374" s="69">
        <f t="shared" si="127"/>
        <v>0</v>
      </c>
      <c r="BH374" s="72">
        <f t="shared" si="128"/>
        <v>0</v>
      </c>
      <c r="BI374" s="73">
        <f t="shared" si="129"/>
        <v>0</v>
      </c>
      <c r="BJ374" s="74">
        <f t="shared" si="130"/>
        <v>0</v>
      </c>
      <c r="BK374" s="75">
        <f t="shared" si="131"/>
        <v>0</v>
      </c>
      <c r="BM374" s="76">
        <f t="shared" si="132"/>
        <v>1</v>
      </c>
    </row>
    <row r="375" spans="1:72" ht="12.75" customHeight="1" x14ac:dyDescent="0.2">
      <c r="A375" s="47"/>
      <c r="B375" s="48" t="s">
        <v>750</v>
      </c>
      <c r="C375" s="49">
        <f>27198.13+16897</f>
        <v>44095.130000000005</v>
      </c>
      <c r="D375" s="50">
        <v>13</v>
      </c>
      <c r="E375" s="49">
        <v>42545.22</v>
      </c>
      <c r="F375" s="50" t="s">
        <v>55</v>
      </c>
      <c r="G375" s="51">
        <v>45677</v>
      </c>
      <c r="H375" s="52" t="s">
        <v>56</v>
      </c>
      <c r="I375" s="51">
        <v>45776</v>
      </c>
      <c r="J375" s="52">
        <f t="shared" si="187"/>
        <v>3.3</v>
      </c>
      <c r="K375" s="53" t="s">
        <v>751</v>
      </c>
      <c r="L375" s="53">
        <v>70000</v>
      </c>
      <c r="M375" s="54">
        <v>3488.2</v>
      </c>
      <c r="N375" s="54">
        <v>9528.26</v>
      </c>
      <c r="O375" s="54">
        <v>2282.41</v>
      </c>
      <c r="P375" s="54">
        <f t="shared" si="176"/>
        <v>0</v>
      </c>
      <c r="Q375" s="54">
        <f t="shared" si="177"/>
        <v>0</v>
      </c>
      <c r="R375" s="55">
        <f t="shared" si="178"/>
        <v>0</v>
      </c>
      <c r="S375" s="55">
        <f t="shared" si="179"/>
        <v>1</v>
      </c>
      <c r="T375" s="56"/>
      <c r="V375" s="57"/>
      <c r="W375" s="58"/>
      <c r="X375" s="58"/>
      <c r="Y375" s="58"/>
      <c r="Z375" s="58"/>
      <c r="AA375" s="58"/>
      <c r="AB375" s="58"/>
      <c r="AC375" s="58"/>
      <c r="AD375" s="59"/>
      <c r="AE375" s="60"/>
      <c r="AF375" s="61"/>
      <c r="AG375" s="59"/>
      <c r="AH375" s="60"/>
      <c r="AI375" s="62"/>
      <c r="AJ375" s="62"/>
      <c r="AK375" s="63"/>
      <c r="AL375" s="64"/>
      <c r="AP375" s="65">
        <f t="shared" si="113"/>
        <v>1</v>
      </c>
      <c r="AQ375" s="16">
        <f t="shared" si="114"/>
        <v>1</v>
      </c>
      <c r="AR375" s="16">
        <f t="shared" si="115"/>
        <v>1</v>
      </c>
      <c r="AS375" s="66">
        <f t="shared" si="116"/>
        <v>11810.67</v>
      </c>
      <c r="AT375" s="67">
        <f t="shared" si="117"/>
        <v>42545.22</v>
      </c>
      <c r="AU375" s="68">
        <f t="shared" si="80"/>
        <v>3.3</v>
      </c>
      <c r="AV375" s="19">
        <f t="shared" si="118"/>
        <v>6.2141062637640822E-3</v>
      </c>
      <c r="AW375" s="69">
        <f t="shared" si="119"/>
        <v>0</v>
      </c>
      <c r="AY375" s="65">
        <f t="shared" si="120"/>
        <v>0</v>
      </c>
      <c r="AZ375" s="16">
        <f t="shared" si="121"/>
        <v>1</v>
      </c>
      <c r="BA375" s="16">
        <f t="shared" si="122"/>
        <v>0</v>
      </c>
      <c r="BB375" s="70">
        <f t="shared" si="123"/>
        <v>0</v>
      </c>
      <c r="BC375" s="67">
        <f t="shared" si="124"/>
        <v>0</v>
      </c>
      <c r="BD375" s="71">
        <f t="shared" si="125"/>
        <v>0</v>
      </c>
      <c r="BE375" s="19">
        <f t="shared" si="126"/>
        <v>0</v>
      </c>
      <c r="BF375" s="69">
        <f t="shared" si="127"/>
        <v>0</v>
      </c>
      <c r="BH375" s="72">
        <f t="shared" si="128"/>
        <v>42545.22</v>
      </c>
      <c r="BI375" s="73">
        <f t="shared" si="129"/>
        <v>1</v>
      </c>
      <c r="BJ375" s="74">
        <f t="shared" si="130"/>
        <v>3.7823514192384848E-3</v>
      </c>
      <c r="BK375" s="75">
        <f t="shared" si="131"/>
        <v>0</v>
      </c>
      <c r="BM375" s="76">
        <f t="shared" si="132"/>
        <v>1</v>
      </c>
    </row>
    <row r="376" spans="1:72" ht="12.75" customHeight="1" x14ac:dyDescent="0.2">
      <c r="A376" s="47"/>
      <c r="B376" s="48" t="s">
        <v>752</v>
      </c>
      <c r="C376" s="49">
        <f>14635+13865</f>
        <v>28500</v>
      </c>
      <c r="D376" s="50">
        <v>13</v>
      </c>
      <c r="E376" s="49">
        <v>24467.32</v>
      </c>
      <c r="F376" s="50" t="s">
        <v>63</v>
      </c>
      <c r="G376" s="51">
        <v>45710</v>
      </c>
      <c r="H376" s="52" t="s">
        <v>542</v>
      </c>
      <c r="I376" s="51" t="s">
        <v>180</v>
      </c>
      <c r="J376" s="52" t="str">
        <f t="shared" si="187"/>
        <v>N/A</v>
      </c>
      <c r="K376" s="53" t="s">
        <v>180</v>
      </c>
      <c r="L376" s="53" t="s">
        <v>180</v>
      </c>
      <c r="M376" s="54"/>
      <c r="N376" s="54"/>
      <c r="O376" s="54"/>
      <c r="P376" s="54">
        <f t="shared" si="176"/>
        <v>0</v>
      </c>
      <c r="Q376" s="54">
        <f t="shared" si="177"/>
        <v>0</v>
      </c>
      <c r="R376" s="55" t="str">
        <f t="shared" si="178"/>
        <v>N/A</v>
      </c>
      <c r="S376" s="55" t="str">
        <f t="shared" si="179"/>
        <v>N/A</v>
      </c>
      <c r="T376" s="56"/>
      <c r="V376" s="57"/>
      <c r="W376" s="58"/>
      <c r="X376" s="58"/>
      <c r="Y376" s="58"/>
      <c r="Z376" s="58"/>
      <c r="AA376" s="58"/>
      <c r="AB376" s="58"/>
      <c r="AC376" s="58"/>
      <c r="AD376" s="59"/>
      <c r="AE376" s="60"/>
      <c r="AF376" s="61"/>
      <c r="AG376" s="59"/>
      <c r="AH376" s="60"/>
      <c r="AI376" s="62"/>
      <c r="AJ376" s="62"/>
      <c r="AK376" s="63"/>
      <c r="AL376" s="64"/>
      <c r="AP376" s="65">
        <f t="shared" si="113"/>
        <v>0</v>
      </c>
      <c r="AQ376" s="16">
        <f t="shared" si="114"/>
        <v>0</v>
      </c>
      <c r="AR376" s="16">
        <f t="shared" si="115"/>
        <v>0</v>
      </c>
      <c r="AS376" s="66">
        <f t="shared" si="116"/>
        <v>0</v>
      </c>
      <c r="AT376" s="67">
        <f t="shared" si="117"/>
        <v>0</v>
      </c>
      <c r="AU376" s="68">
        <f t="shared" si="80"/>
        <v>0</v>
      </c>
      <c r="AV376" s="19">
        <f t="shared" si="118"/>
        <v>0</v>
      </c>
      <c r="AW376" s="69">
        <f t="shared" si="119"/>
        <v>0</v>
      </c>
      <c r="AY376" s="65">
        <f t="shared" si="120"/>
        <v>1</v>
      </c>
      <c r="AZ376" s="16">
        <f t="shared" si="121"/>
        <v>0</v>
      </c>
      <c r="BA376" s="16">
        <f t="shared" si="122"/>
        <v>0</v>
      </c>
      <c r="BB376" s="70">
        <f t="shared" si="123"/>
        <v>0</v>
      </c>
      <c r="BC376" s="67">
        <f t="shared" si="124"/>
        <v>0</v>
      </c>
      <c r="BD376" s="71">
        <f t="shared" si="125"/>
        <v>0</v>
      </c>
      <c r="BE376" s="19">
        <f t="shared" si="126"/>
        <v>0</v>
      </c>
      <c r="BF376" s="69">
        <f t="shared" si="127"/>
        <v>0</v>
      </c>
      <c r="BH376" s="72">
        <f t="shared" si="128"/>
        <v>0</v>
      </c>
      <c r="BI376" s="73">
        <f t="shared" si="129"/>
        <v>0</v>
      </c>
      <c r="BJ376" s="74">
        <f t="shared" si="130"/>
        <v>0</v>
      </c>
      <c r="BK376" s="75">
        <f t="shared" si="131"/>
        <v>0</v>
      </c>
      <c r="BM376" s="76">
        <f t="shared" si="132"/>
        <v>1</v>
      </c>
    </row>
    <row r="377" spans="1:72" ht="12.75" customHeight="1" x14ac:dyDescent="0.2">
      <c r="A377" s="47"/>
      <c r="B377" s="48" t="s">
        <v>753</v>
      </c>
      <c r="C377" s="49">
        <v>49085</v>
      </c>
      <c r="D377" s="50">
        <v>13</v>
      </c>
      <c r="E377" s="49">
        <v>49085</v>
      </c>
      <c r="F377" s="50" t="s">
        <v>55</v>
      </c>
      <c r="G377" s="51">
        <v>45611</v>
      </c>
      <c r="H377" s="52" t="s">
        <v>56</v>
      </c>
      <c r="I377" s="51">
        <v>45807</v>
      </c>
      <c r="J377" s="52">
        <f t="shared" si="187"/>
        <v>6.5333333333333332</v>
      </c>
      <c r="K377" s="53" t="s">
        <v>754</v>
      </c>
      <c r="L377" s="53">
        <f>49085+7415</f>
        <v>56500</v>
      </c>
      <c r="M377" s="54">
        <v>4662.8999999999996</v>
      </c>
      <c r="N377" s="54">
        <v>11414.02</v>
      </c>
      <c r="O377" s="54">
        <v>532.23</v>
      </c>
      <c r="P377" s="54">
        <f t="shared" si="176"/>
        <v>0</v>
      </c>
      <c r="Q377" s="54">
        <f t="shared" si="177"/>
        <v>9194.15</v>
      </c>
      <c r="R377" s="55">
        <f t="shared" si="178"/>
        <v>0.18731078740959559</v>
      </c>
      <c r="S377" s="55">
        <f t="shared" si="179"/>
        <v>0.81268921259040439</v>
      </c>
      <c r="T377" s="56"/>
      <c r="V377" s="57"/>
      <c r="W377" s="58"/>
      <c r="X377" s="58"/>
      <c r="Y377" s="58"/>
      <c r="Z377" s="58"/>
      <c r="AA377" s="58"/>
      <c r="AB377" s="58"/>
      <c r="AC377" s="58"/>
      <c r="AD377" s="59"/>
      <c r="AE377" s="60"/>
      <c r="AF377" s="61"/>
      <c r="AG377" s="59"/>
      <c r="AH377" s="60"/>
      <c r="AI377" s="62"/>
      <c r="AJ377" s="62"/>
      <c r="AK377" s="63"/>
      <c r="AL377" s="64"/>
      <c r="AP377" s="65">
        <f t="shared" si="113"/>
        <v>1</v>
      </c>
      <c r="AQ377" s="16">
        <f t="shared" si="114"/>
        <v>1</v>
      </c>
      <c r="AR377" s="16">
        <f t="shared" si="115"/>
        <v>1</v>
      </c>
      <c r="AS377" s="66">
        <f t="shared" si="116"/>
        <v>11946.25</v>
      </c>
      <c r="AT377" s="67">
        <f t="shared" si="117"/>
        <v>49085</v>
      </c>
      <c r="AU377" s="68">
        <f t="shared" si="80"/>
        <v>6.5333333333333332</v>
      </c>
      <c r="AV377" s="19">
        <f t="shared" si="118"/>
        <v>7.1692990647800143E-3</v>
      </c>
      <c r="AW377" s="69">
        <f t="shared" si="119"/>
        <v>1.3428870529988218E-3</v>
      </c>
      <c r="AY377" s="65">
        <f t="shared" si="120"/>
        <v>0</v>
      </c>
      <c r="AZ377" s="16">
        <f t="shared" si="121"/>
        <v>1</v>
      </c>
      <c r="BA377" s="16">
        <f t="shared" si="122"/>
        <v>0</v>
      </c>
      <c r="BB377" s="70">
        <f t="shared" si="123"/>
        <v>0</v>
      </c>
      <c r="BC377" s="67">
        <f t="shared" si="124"/>
        <v>0</v>
      </c>
      <c r="BD377" s="71">
        <f t="shared" si="125"/>
        <v>0</v>
      </c>
      <c r="BE377" s="19">
        <f t="shared" si="126"/>
        <v>0</v>
      </c>
      <c r="BF377" s="69">
        <f t="shared" si="127"/>
        <v>0</v>
      </c>
      <c r="BH377" s="72">
        <f t="shared" si="128"/>
        <v>49085</v>
      </c>
      <c r="BI377" s="73">
        <f t="shared" si="129"/>
        <v>1</v>
      </c>
      <c r="BJ377" s="74">
        <f t="shared" si="130"/>
        <v>4.3637503675694007E-3</v>
      </c>
      <c r="BK377" s="75">
        <f t="shared" si="131"/>
        <v>8.1737751740833665E-4</v>
      </c>
      <c r="BM377" s="76">
        <f t="shared" si="132"/>
        <v>1</v>
      </c>
    </row>
    <row r="378" spans="1:72" ht="12.75" customHeight="1" x14ac:dyDescent="0.2">
      <c r="A378" s="47"/>
      <c r="B378" s="48" t="s">
        <v>755</v>
      </c>
      <c r="C378" s="49">
        <v>24495.1</v>
      </c>
      <c r="D378" s="50">
        <v>13</v>
      </c>
      <c r="E378" s="49">
        <v>16585.61</v>
      </c>
      <c r="F378" s="50" t="s">
        <v>63</v>
      </c>
      <c r="G378" s="51">
        <v>45825</v>
      </c>
      <c r="H378" s="52" t="s">
        <v>542</v>
      </c>
      <c r="I378" s="51" t="s">
        <v>180</v>
      </c>
      <c r="J378" s="52" t="str">
        <f t="shared" si="187"/>
        <v>N/A</v>
      </c>
      <c r="K378" s="53" t="s">
        <v>180</v>
      </c>
      <c r="L378" s="53" t="s">
        <v>180</v>
      </c>
      <c r="M378" s="54"/>
      <c r="N378" s="54"/>
      <c r="O378" s="54"/>
      <c r="P378" s="54">
        <f t="shared" si="176"/>
        <v>0</v>
      </c>
      <c r="Q378" s="54">
        <f t="shared" si="177"/>
        <v>0</v>
      </c>
      <c r="R378" s="55" t="str">
        <f t="shared" si="178"/>
        <v>N/A</v>
      </c>
      <c r="S378" s="55" t="str">
        <f t="shared" si="179"/>
        <v>N/A</v>
      </c>
      <c r="T378" s="56"/>
      <c r="V378" s="57"/>
      <c r="W378" s="58"/>
      <c r="X378" s="58"/>
      <c r="Y378" s="58"/>
      <c r="Z378" s="58"/>
      <c r="AA378" s="58"/>
      <c r="AB378" s="58"/>
      <c r="AC378" s="58"/>
      <c r="AD378" s="59"/>
      <c r="AE378" s="60"/>
      <c r="AF378" s="61"/>
      <c r="AG378" s="59"/>
      <c r="AH378" s="60"/>
      <c r="AI378" s="62"/>
      <c r="AJ378" s="62"/>
      <c r="AK378" s="63"/>
      <c r="AL378" s="64"/>
      <c r="AP378" s="65">
        <f t="shared" si="113"/>
        <v>0</v>
      </c>
      <c r="AQ378" s="16">
        <f t="shared" si="114"/>
        <v>0</v>
      </c>
      <c r="AR378" s="16">
        <f t="shared" si="115"/>
        <v>0</v>
      </c>
      <c r="AS378" s="66">
        <f t="shared" si="116"/>
        <v>0</v>
      </c>
      <c r="AT378" s="67">
        <f t="shared" si="117"/>
        <v>0</v>
      </c>
      <c r="AU378" s="68">
        <f t="shared" si="80"/>
        <v>0</v>
      </c>
      <c r="AV378" s="19">
        <f t="shared" si="118"/>
        <v>0</v>
      </c>
      <c r="AW378" s="69">
        <f t="shared" si="119"/>
        <v>0</v>
      </c>
      <c r="AY378" s="65">
        <f t="shared" si="120"/>
        <v>1</v>
      </c>
      <c r="AZ378" s="16">
        <f t="shared" si="121"/>
        <v>0</v>
      </c>
      <c r="BA378" s="16">
        <f t="shared" si="122"/>
        <v>0</v>
      </c>
      <c r="BB378" s="70">
        <f t="shared" si="123"/>
        <v>0</v>
      </c>
      <c r="BC378" s="67">
        <f t="shared" si="124"/>
        <v>0</v>
      </c>
      <c r="BD378" s="71">
        <f t="shared" si="125"/>
        <v>0</v>
      </c>
      <c r="BE378" s="19">
        <f t="shared" si="126"/>
        <v>0</v>
      </c>
      <c r="BF378" s="69">
        <f t="shared" si="127"/>
        <v>0</v>
      </c>
      <c r="BH378" s="72">
        <f t="shared" si="128"/>
        <v>0</v>
      </c>
      <c r="BI378" s="73">
        <f t="shared" si="129"/>
        <v>0</v>
      </c>
      <c r="BJ378" s="74">
        <f t="shared" si="130"/>
        <v>0</v>
      </c>
      <c r="BK378" s="75">
        <f t="shared" si="131"/>
        <v>0</v>
      </c>
      <c r="BM378" s="76">
        <f t="shared" si="132"/>
        <v>1</v>
      </c>
    </row>
    <row r="379" spans="1:72" ht="12.75" customHeight="1" x14ac:dyDescent="0.2">
      <c r="A379" s="47"/>
      <c r="B379" s="48" t="s">
        <v>756</v>
      </c>
      <c r="C379" s="49">
        <v>25791.23</v>
      </c>
      <c r="D379" s="50">
        <v>13</v>
      </c>
      <c r="E379" s="49">
        <v>18634.509999999998</v>
      </c>
      <c r="F379" s="50" t="s">
        <v>55</v>
      </c>
      <c r="G379" s="51">
        <v>45860</v>
      </c>
      <c r="H379" s="52" t="s">
        <v>542</v>
      </c>
      <c r="I379" s="50" t="s">
        <v>180</v>
      </c>
      <c r="J379" s="52" t="s">
        <v>180</v>
      </c>
      <c r="K379" s="53" t="s">
        <v>180</v>
      </c>
      <c r="L379" s="53" t="s">
        <v>180</v>
      </c>
      <c r="M379" s="54"/>
      <c r="N379" s="54"/>
      <c r="O379" s="54"/>
      <c r="P379" s="54">
        <f t="shared" si="176"/>
        <v>0</v>
      </c>
      <c r="Q379" s="54">
        <f t="shared" si="177"/>
        <v>0</v>
      </c>
      <c r="R379" s="93" t="s">
        <v>180</v>
      </c>
      <c r="S379" s="93" t="s">
        <v>180</v>
      </c>
      <c r="T379" s="56"/>
      <c r="V379" s="57"/>
      <c r="W379" s="58"/>
      <c r="X379" s="58"/>
      <c r="Y379" s="58"/>
      <c r="Z379" s="58"/>
      <c r="AA379" s="58"/>
      <c r="AB379" s="58"/>
      <c r="AC379" s="58"/>
      <c r="AD379" s="59"/>
      <c r="AE379" s="60"/>
      <c r="AF379" s="61"/>
      <c r="AG379" s="59"/>
      <c r="AH379" s="60"/>
      <c r="AI379" s="62"/>
      <c r="AJ379" s="62"/>
      <c r="AK379" s="63"/>
      <c r="AL379" s="64"/>
      <c r="AP379" s="65"/>
      <c r="AQ379" s="16"/>
      <c r="AR379" s="16"/>
      <c r="AS379" s="66"/>
      <c r="AT379" s="67"/>
      <c r="AU379" s="68"/>
      <c r="AV379" s="19"/>
      <c r="AW379" s="69"/>
      <c r="AY379" s="65"/>
      <c r="AZ379" s="16"/>
      <c r="BA379" s="16"/>
      <c r="BB379" s="70"/>
      <c r="BC379" s="67"/>
      <c r="BD379" s="71"/>
      <c r="BE379" s="19"/>
      <c r="BF379" s="69"/>
      <c r="BH379" s="72"/>
      <c r="BI379" s="73"/>
      <c r="BJ379" s="74"/>
      <c r="BK379" s="75"/>
      <c r="BM379" s="76"/>
    </row>
    <row r="380" spans="1:72" ht="12.75" customHeight="1" x14ac:dyDescent="0.2">
      <c r="A380" s="47"/>
      <c r="B380" s="48" t="s">
        <v>757</v>
      </c>
      <c r="C380" s="49">
        <v>91097.22</v>
      </c>
      <c r="D380" s="50">
        <v>13</v>
      </c>
      <c r="E380" s="49">
        <v>85038.35</v>
      </c>
      <c r="F380" s="50" t="s">
        <v>63</v>
      </c>
      <c r="G380" s="51">
        <v>45883</v>
      </c>
      <c r="H380" s="52" t="s">
        <v>542</v>
      </c>
      <c r="I380" s="51" t="s">
        <v>180</v>
      </c>
      <c r="J380" s="52" t="str">
        <f>IF(I380="Active",0,(IF(I380="N/A","N/A",(I380-G380)/30)))</f>
        <v>N/A</v>
      </c>
      <c r="K380" s="53" t="s">
        <v>180</v>
      </c>
      <c r="L380" s="53" t="s">
        <v>180</v>
      </c>
      <c r="M380" s="54"/>
      <c r="N380" s="54"/>
      <c r="O380" s="54"/>
      <c r="P380" s="54">
        <f t="shared" si="176"/>
        <v>0</v>
      </c>
      <c r="Q380" s="54">
        <f t="shared" si="177"/>
        <v>0</v>
      </c>
      <c r="R380" s="55" t="str">
        <f t="shared" ref="R380:R385" si="188">IF(J380="N/A","N/A",Q380/E380)</f>
        <v>N/A</v>
      </c>
      <c r="S380" s="55" t="str">
        <f t="shared" ref="S380:S385" si="189">IF(R380="N/A","N/A",MAX(0,1-R380))</f>
        <v>N/A</v>
      </c>
      <c r="T380" s="56"/>
      <c r="V380" s="57"/>
      <c r="W380" s="58"/>
      <c r="X380" s="58"/>
      <c r="Y380" s="58"/>
      <c r="Z380" s="58"/>
      <c r="AA380" s="58"/>
      <c r="AB380" s="58"/>
      <c r="AC380" s="58"/>
      <c r="AD380" s="59"/>
      <c r="AE380" s="60"/>
      <c r="AF380" s="61"/>
      <c r="AG380" s="59"/>
      <c r="AH380" s="60"/>
      <c r="AI380" s="62"/>
      <c r="AJ380" s="62"/>
      <c r="AK380" s="63"/>
      <c r="AL380" s="64"/>
      <c r="AP380" s="65">
        <f t="shared" ref="AP380:AP385" si="190">IF(F380="Legal Foreclosure",1,0)</f>
        <v>0</v>
      </c>
      <c r="AQ380" s="16">
        <f t="shared" ref="AQ380:AQ385" si="191">IF(I380="N/A",0,1)</f>
        <v>0</v>
      </c>
      <c r="AR380" s="16">
        <f t="shared" ref="AR380:AR385" si="192">AP380*AQ380</f>
        <v>0</v>
      </c>
      <c r="AS380" s="66">
        <f t="shared" ref="AS380:AS385" si="193">(N380+O380)*AR380</f>
        <v>0</v>
      </c>
      <c r="AT380" s="67">
        <f t="shared" ref="AT380:AT385" si="194">E380*AR380</f>
        <v>0</v>
      </c>
      <c r="AU380" s="68">
        <f t="shared" ref="AU380:AU385" si="195">IF(AR380=1,J380,0)</f>
        <v>0</v>
      </c>
      <c r="AV380" s="19">
        <f t="shared" ref="AV380:AV385" si="196">AT380/$AT$400*AR380</f>
        <v>0</v>
      </c>
      <c r="AW380" s="69">
        <f t="shared" ref="AW380:AW385" si="197">IF(AR380=0,0,R380*AV380)</f>
        <v>0</v>
      </c>
      <c r="AY380" s="65">
        <f t="shared" ref="AY380:AY385" si="198">IF(F380="Deed in Lieu",1,0)</f>
        <v>1</v>
      </c>
      <c r="AZ380" s="16">
        <f t="shared" ref="AZ380:AZ385" si="199">IF(I380="N/A",0,1)</f>
        <v>0</v>
      </c>
      <c r="BA380" s="16">
        <f t="shared" ref="BA380:BA385" si="200">AY380*AZ380</f>
        <v>0</v>
      </c>
      <c r="BB380" s="70">
        <f t="shared" ref="BB380:BB385" si="201">(N380+O380)*BA380</f>
        <v>0</v>
      </c>
      <c r="BC380" s="67">
        <f t="shared" ref="BC380:BC385" si="202">E380*BA380</f>
        <v>0</v>
      </c>
      <c r="BD380" s="71">
        <f t="shared" ref="BD380:BD385" si="203">IF(BA380=1,J380,0)</f>
        <v>0</v>
      </c>
      <c r="BE380" s="19">
        <f t="shared" ref="BE380:BE385" si="204">BC380/$BC$400*BA380</f>
        <v>0</v>
      </c>
      <c r="BF380" s="69">
        <f t="shared" ref="BF380:BF385" si="205">IF(BA380=0,0,R380*BE380)</f>
        <v>0</v>
      </c>
      <c r="BH380" s="72">
        <f t="shared" ref="BH380:BH385" si="206">AT380+BC380</f>
        <v>0</v>
      </c>
      <c r="BI380" s="73">
        <f t="shared" ref="BI380:BI385" si="207">AR380+BA380</f>
        <v>0</v>
      </c>
      <c r="BJ380" s="74">
        <f t="shared" ref="BJ380:BJ385" si="208">BH380/$BH$400</f>
        <v>0</v>
      </c>
      <c r="BK380" s="75"/>
      <c r="BM380" s="76">
        <f t="shared" ref="BM380:BM385" si="209">IF(E380&gt;1,1,0)</f>
        <v>1</v>
      </c>
    </row>
    <row r="381" spans="1:72" ht="12.75" customHeight="1" x14ac:dyDescent="0.2">
      <c r="A381" s="47"/>
      <c r="B381" s="48" t="s">
        <v>758</v>
      </c>
      <c r="C381" s="49">
        <v>40500</v>
      </c>
      <c r="D381" s="50">
        <v>13</v>
      </c>
      <c r="E381" s="49">
        <v>38763</v>
      </c>
      <c r="F381" s="50" t="s">
        <v>63</v>
      </c>
      <c r="G381" s="51">
        <v>45883</v>
      </c>
      <c r="H381" s="52" t="s">
        <v>56</v>
      </c>
      <c r="I381" s="51">
        <v>45955</v>
      </c>
      <c r="J381" s="52">
        <v>2</v>
      </c>
      <c r="K381" s="53" t="s">
        <v>759</v>
      </c>
      <c r="L381" s="53">
        <v>50000</v>
      </c>
      <c r="M381" s="54">
        <v>674</v>
      </c>
      <c r="N381" s="54">
        <v>7583</v>
      </c>
      <c r="O381" s="54">
        <v>400</v>
      </c>
      <c r="P381" s="54">
        <f t="shared" si="176"/>
        <v>0</v>
      </c>
      <c r="Q381" s="54">
        <f t="shared" si="177"/>
        <v>0</v>
      </c>
      <c r="R381" s="55">
        <f t="shared" si="188"/>
        <v>0</v>
      </c>
      <c r="S381" s="55">
        <f t="shared" si="189"/>
        <v>1</v>
      </c>
      <c r="T381" s="56"/>
      <c r="V381" s="57"/>
      <c r="W381" s="58"/>
      <c r="X381" s="58"/>
      <c r="Y381" s="58"/>
      <c r="Z381" s="58"/>
      <c r="AA381" s="58"/>
      <c r="AB381" s="58"/>
      <c r="AC381" s="58"/>
      <c r="AD381" s="59"/>
      <c r="AE381" s="60"/>
      <c r="AF381" s="61"/>
      <c r="AG381" s="59"/>
      <c r="AH381" s="60"/>
      <c r="AI381" s="62"/>
      <c r="AJ381" s="62"/>
      <c r="AK381" s="63"/>
      <c r="AL381" s="64"/>
      <c r="AP381" s="65">
        <f t="shared" si="190"/>
        <v>0</v>
      </c>
      <c r="AQ381" s="16">
        <f t="shared" si="191"/>
        <v>1</v>
      </c>
      <c r="AR381" s="16">
        <f t="shared" si="192"/>
        <v>0</v>
      </c>
      <c r="AS381" s="66">
        <f t="shared" si="193"/>
        <v>0</v>
      </c>
      <c r="AT381" s="67">
        <f t="shared" si="194"/>
        <v>0</v>
      </c>
      <c r="AU381" s="68">
        <f t="shared" si="195"/>
        <v>0</v>
      </c>
      <c r="AV381" s="19">
        <f t="shared" si="196"/>
        <v>0</v>
      </c>
      <c r="AW381" s="69">
        <f t="shared" si="197"/>
        <v>0</v>
      </c>
      <c r="AY381" s="65">
        <f t="shared" si="198"/>
        <v>1</v>
      </c>
      <c r="AZ381" s="16">
        <f t="shared" si="199"/>
        <v>1</v>
      </c>
      <c r="BA381" s="16">
        <f t="shared" si="200"/>
        <v>1</v>
      </c>
      <c r="BB381" s="70">
        <f t="shared" si="201"/>
        <v>7983</v>
      </c>
      <c r="BC381" s="67">
        <f t="shared" si="202"/>
        <v>38763</v>
      </c>
      <c r="BD381" s="71">
        <f t="shared" si="203"/>
        <v>2</v>
      </c>
      <c r="BE381" s="19">
        <f t="shared" si="204"/>
        <v>8.8061761848486509E-3</v>
      </c>
      <c r="BF381" s="69">
        <f t="shared" si="205"/>
        <v>0</v>
      </c>
      <c r="BH381" s="72">
        <f t="shared" si="206"/>
        <v>38763</v>
      </c>
      <c r="BI381" s="73">
        <f t="shared" si="207"/>
        <v>1</v>
      </c>
      <c r="BJ381" s="74">
        <f t="shared" si="208"/>
        <v>3.4461048283201115E-3</v>
      </c>
      <c r="BK381" s="75"/>
      <c r="BM381" s="76">
        <f t="shared" si="209"/>
        <v>1</v>
      </c>
    </row>
    <row r="382" spans="1:72" ht="12.75" customHeight="1" x14ac:dyDescent="0.2">
      <c r="A382" s="47"/>
      <c r="B382" s="82" t="s">
        <v>760</v>
      </c>
      <c r="C382" s="49">
        <v>40399</v>
      </c>
      <c r="D382" s="50">
        <v>13</v>
      </c>
      <c r="E382" s="49">
        <v>35467.980000000003</v>
      </c>
      <c r="F382" s="83" t="s">
        <v>55</v>
      </c>
      <c r="G382" s="51">
        <v>45968</v>
      </c>
      <c r="H382" s="52" t="s">
        <v>56</v>
      </c>
      <c r="I382" s="51">
        <v>46185</v>
      </c>
      <c r="J382" s="52">
        <f t="shared" ref="J382:J383" si="210">IF(I382="Active",0,(IF(I382="N/A","N/A",(I382-G382)/30)))</f>
        <v>7.2333333333333334</v>
      </c>
      <c r="K382" s="53" t="s">
        <v>761</v>
      </c>
      <c r="L382" s="53">
        <v>51531.83</v>
      </c>
      <c r="M382" s="54">
        <v>1498.11</v>
      </c>
      <c r="N382" s="54">
        <v>8863.94</v>
      </c>
      <c r="O382" s="54">
        <v>12</v>
      </c>
      <c r="P382" s="85">
        <f t="shared" si="176"/>
        <v>0</v>
      </c>
      <c r="Q382" s="85">
        <f t="shared" si="177"/>
        <v>0</v>
      </c>
      <c r="R382" s="55">
        <f t="shared" si="188"/>
        <v>0</v>
      </c>
      <c r="S382" s="55">
        <f t="shared" si="189"/>
        <v>1</v>
      </c>
      <c r="T382" s="56"/>
      <c r="V382" s="57"/>
      <c r="W382" s="58"/>
      <c r="X382" s="58"/>
      <c r="Y382" s="58"/>
      <c r="Z382" s="58"/>
      <c r="AA382" s="58"/>
      <c r="AB382" s="58"/>
      <c r="AC382" s="58"/>
      <c r="AD382" s="59"/>
      <c r="AE382" s="60"/>
      <c r="AF382" s="61"/>
      <c r="AG382" s="59"/>
      <c r="AH382" s="60"/>
      <c r="AI382" s="62"/>
      <c r="AJ382" s="62"/>
      <c r="AK382" s="63"/>
      <c r="AL382" s="64"/>
      <c r="AP382" s="65">
        <f t="shared" si="190"/>
        <v>1</v>
      </c>
      <c r="AQ382" s="16">
        <f t="shared" si="191"/>
        <v>1</v>
      </c>
      <c r="AR382" s="16">
        <f t="shared" si="192"/>
        <v>1</v>
      </c>
      <c r="AS382" s="66">
        <f t="shared" si="193"/>
        <v>8875.94</v>
      </c>
      <c r="AT382" s="67">
        <f t="shared" si="194"/>
        <v>35467.980000000003</v>
      </c>
      <c r="AU382" s="68">
        <f t="shared" si="195"/>
        <v>7.2333333333333334</v>
      </c>
      <c r="AV382" s="19">
        <f t="shared" si="196"/>
        <v>5.1804126687101208E-3</v>
      </c>
      <c r="AW382" s="69">
        <f t="shared" si="197"/>
        <v>0</v>
      </c>
      <c r="AY382" s="65">
        <f t="shared" si="198"/>
        <v>0</v>
      </c>
      <c r="AZ382" s="16">
        <f t="shared" si="199"/>
        <v>1</v>
      </c>
      <c r="BA382" s="16">
        <f t="shared" si="200"/>
        <v>0</v>
      </c>
      <c r="BB382" s="70">
        <f t="shared" si="201"/>
        <v>0</v>
      </c>
      <c r="BC382" s="67">
        <f t="shared" si="202"/>
        <v>0</v>
      </c>
      <c r="BD382" s="71">
        <f t="shared" si="203"/>
        <v>0</v>
      </c>
      <c r="BE382" s="19">
        <f t="shared" si="204"/>
        <v>0</v>
      </c>
      <c r="BF382" s="69">
        <f t="shared" si="205"/>
        <v>0</v>
      </c>
      <c r="BH382" s="72">
        <f t="shared" si="206"/>
        <v>35467.980000000003</v>
      </c>
      <c r="BI382" s="73">
        <f t="shared" si="207"/>
        <v>1</v>
      </c>
      <c r="BJ382" s="74">
        <f t="shared" si="208"/>
        <v>3.1531712490973649E-3</v>
      </c>
      <c r="BK382" s="75"/>
      <c r="BM382" s="76">
        <f t="shared" si="209"/>
        <v>1</v>
      </c>
    </row>
    <row r="383" spans="1:72" ht="12.75" customHeight="1" x14ac:dyDescent="0.2">
      <c r="A383" s="81"/>
      <c r="B383" s="82" t="s">
        <v>762</v>
      </c>
      <c r="C383" s="49">
        <v>40500</v>
      </c>
      <c r="D383" s="50">
        <v>13</v>
      </c>
      <c r="E383" s="49">
        <v>38109.57</v>
      </c>
      <c r="F383" s="50" t="s">
        <v>55</v>
      </c>
      <c r="G383" s="51">
        <v>45982</v>
      </c>
      <c r="H383" s="52" t="s">
        <v>542</v>
      </c>
      <c r="I383" s="51" t="s">
        <v>180</v>
      </c>
      <c r="J383" s="52" t="str">
        <f t="shared" si="210"/>
        <v>N/A</v>
      </c>
      <c r="K383" s="53" t="s">
        <v>180</v>
      </c>
      <c r="L383" s="53" t="s">
        <v>180</v>
      </c>
      <c r="M383" s="54"/>
      <c r="N383" s="54"/>
      <c r="O383" s="54"/>
      <c r="P383" s="85">
        <f t="shared" si="176"/>
        <v>0</v>
      </c>
      <c r="Q383" s="85">
        <f t="shared" si="177"/>
        <v>0</v>
      </c>
      <c r="R383" s="55" t="str">
        <f t="shared" si="188"/>
        <v>N/A</v>
      </c>
      <c r="S383" s="55" t="str">
        <f t="shared" si="189"/>
        <v>N/A</v>
      </c>
      <c r="T383" s="56"/>
      <c r="U383" s="5"/>
      <c r="V383" s="57"/>
      <c r="W383" s="58"/>
      <c r="X383" s="58"/>
      <c r="Y383" s="58"/>
      <c r="Z383" s="58"/>
      <c r="AA383" s="58"/>
      <c r="AB383" s="58"/>
      <c r="AC383" s="58"/>
      <c r="AD383" s="59"/>
      <c r="AE383" s="60"/>
      <c r="AF383" s="58"/>
      <c r="AG383" s="59"/>
      <c r="AH383" s="60"/>
      <c r="AI383" s="62"/>
      <c r="AJ383" s="62"/>
      <c r="AK383" s="63"/>
      <c r="AL383" s="86"/>
      <c r="AM383" s="5"/>
      <c r="AN383" s="5"/>
      <c r="AO383" s="5"/>
      <c r="AP383" s="65">
        <f t="shared" si="190"/>
        <v>1</v>
      </c>
      <c r="AQ383" s="16">
        <f t="shared" si="191"/>
        <v>0</v>
      </c>
      <c r="AR383" s="16">
        <f t="shared" si="192"/>
        <v>0</v>
      </c>
      <c r="AS383" s="66">
        <f t="shared" si="193"/>
        <v>0</v>
      </c>
      <c r="AT383" s="87">
        <f t="shared" si="194"/>
        <v>0</v>
      </c>
      <c r="AU383" s="88">
        <f t="shared" si="195"/>
        <v>0</v>
      </c>
      <c r="AV383" s="19">
        <f t="shared" si="196"/>
        <v>0</v>
      </c>
      <c r="AW383" s="89">
        <f t="shared" si="197"/>
        <v>0</v>
      </c>
      <c r="AX383" s="5"/>
      <c r="AY383" s="65">
        <f t="shared" si="198"/>
        <v>0</v>
      </c>
      <c r="AZ383" s="16">
        <f t="shared" si="199"/>
        <v>0</v>
      </c>
      <c r="BA383" s="16">
        <f t="shared" si="200"/>
        <v>0</v>
      </c>
      <c r="BB383" s="70">
        <f t="shared" si="201"/>
        <v>0</v>
      </c>
      <c r="BC383" s="87">
        <f t="shared" si="202"/>
        <v>0</v>
      </c>
      <c r="BD383" s="71">
        <f t="shared" si="203"/>
        <v>0</v>
      </c>
      <c r="BE383" s="19">
        <f t="shared" si="204"/>
        <v>0</v>
      </c>
      <c r="BF383" s="89">
        <f t="shared" si="205"/>
        <v>0</v>
      </c>
      <c r="BG383" s="5"/>
      <c r="BH383" s="90">
        <f t="shared" si="206"/>
        <v>0</v>
      </c>
      <c r="BI383" s="91">
        <f t="shared" si="207"/>
        <v>0</v>
      </c>
      <c r="BJ383" s="94">
        <f t="shared" si="208"/>
        <v>0</v>
      </c>
      <c r="BK383" s="75"/>
      <c r="BL383" s="5"/>
      <c r="BM383" s="76">
        <f t="shared" si="209"/>
        <v>1</v>
      </c>
      <c r="BN383" s="5"/>
      <c r="BO383" s="5"/>
      <c r="BP383" s="5"/>
      <c r="BQ383" s="5"/>
      <c r="BR383" s="5"/>
      <c r="BS383" s="5"/>
      <c r="BT383" s="5"/>
    </row>
    <row r="384" spans="1:72" ht="12.75" customHeight="1" x14ac:dyDescent="0.2">
      <c r="A384" s="81"/>
      <c r="B384" s="82" t="s">
        <v>763</v>
      </c>
      <c r="C384" s="49">
        <v>39600</v>
      </c>
      <c r="D384" s="50">
        <v>13</v>
      </c>
      <c r="E384" s="49">
        <v>33761.519999999997</v>
      </c>
      <c r="F384" s="50" t="s">
        <v>55</v>
      </c>
      <c r="G384" s="51">
        <v>46351</v>
      </c>
      <c r="H384" s="52" t="s">
        <v>56</v>
      </c>
      <c r="I384" s="51">
        <v>46079</v>
      </c>
      <c r="J384" s="52">
        <v>2</v>
      </c>
      <c r="K384" s="53" t="s">
        <v>764</v>
      </c>
      <c r="L384" s="53">
        <v>55000</v>
      </c>
      <c r="M384" s="54"/>
      <c r="N384" s="54"/>
      <c r="O384" s="54"/>
      <c r="P384" s="85">
        <f t="shared" si="176"/>
        <v>0</v>
      </c>
      <c r="Q384" s="85">
        <f t="shared" si="177"/>
        <v>0</v>
      </c>
      <c r="R384" s="55">
        <f t="shared" si="188"/>
        <v>0</v>
      </c>
      <c r="S384" s="55">
        <f t="shared" si="189"/>
        <v>1</v>
      </c>
      <c r="T384" s="56"/>
      <c r="U384" s="5"/>
      <c r="V384" s="57"/>
      <c r="W384" s="58"/>
      <c r="X384" s="58"/>
      <c r="Y384" s="58"/>
      <c r="Z384" s="58"/>
      <c r="AA384" s="58"/>
      <c r="AB384" s="58"/>
      <c r="AC384" s="58"/>
      <c r="AD384" s="59"/>
      <c r="AE384" s="60"/>
      <c r="AF384" s="58"/>
      <c r="AG384" s="59"/>
      <c r="AH384" s="60"/>
      <c r="AI384" s="62"/>
      <c r="AJ384" s="62"/>
      <c r="AK384" s="63"/>
      <c r="AL384" s="86"/>
      <c r="AM384" s="5"/>
      <c r="AN384" s="5"/>
      <c r="AO384" s="5"/>
      <c r="AP384" s="65">
        <f t="shared" si="190"/>
        <v>1</v>
      </c>
      <c r="AQ384" s="16">
        <f t="shared" si="191"/>
        <v>1</v>
      </c>
      <c r="AR384" s="16">
        <f t="shared" si="192"/>
        <v>1</v>
      </c>
      <c r="AS384" s="66">
        <f t="shared" si="193"/>
        <v>0</v>
      </c>
      <c r="AT384" s="87">
        <f t="shared" si="194"/>
        <v>33761.519999999997</v>
      </c>
      <c r="AU384" s="88">
        <f t="shared" si="195"/>
        <v>2</v>
      </c>
      <c r="AV384" s="19">
        <f t="shared" si="196"/>
        <v>4.9311690691973458E-3</v>
      </c>
      <c r="AW384" s="89">
        <f t="shared" si="197"/>
        <v>0</v>
      </c>
      <c r="AX384" s="5"/>
      <c r="AY384" s="65">
        <f t="shared" si="198"/>
        <v>0</v>
      </c>
      <c r="AZ384" s="16">
        <f t="shared" si="199"/>
        <v>1</v>
      </c>
      <c r="BA384" s="16">
        <f t="shared" si="200"/>
        <v>0</v>
      </c>
      <c r="BB384" s="70">
        <f t="shared" si="201"/>
        <v>0</v>
      </c>
      <c r="BC384" s="87">
        <f t="shared" si="202"/>
        <v>0</v>
      </c>
      <c r="BD384" s="71">
        <f t="shared" si="203"/>
        <v>0</v>
      </c>
      <c r="BE384" s="19">
        <f t="shared" si="204"/>
        <v>0</v>
      </c>
      <c r="BF384" s="89">
        <f t="shared" si="205"/>
        <v>0</v>
      </c>
      <c r="BG384" s="5"/>
      <c r="BH384" s="90">
        <f t="shared" si="206"/>
        <v>33761.519999999997</v>
      </c>
      <c r="BI384" s="91">
        <f t="shared" si="207"/>
        <v>1</v>
      </c>
      <c r="BJ384" s="94">
        <f t="shared" si="208"/>
        <v>3.0014636917531151E-3</v>
      </c>
      <c r="BK384" s="75"/>
      <c r="BL384" s="5"/>
      <c r="BM384" s="76">
        <f t="shared" si="209"/>
        <v>1</v>
      </c>
      <c r="BN384" s="5"/>
      <c r="BO384" s="5"/>
      <c r="BP384" s="5"/>
      <c r="BQ384" s="5"/>
      <c r="BR384" s="5"/>
      <c r="BS384" s="5"/>
      <c r="BT384" s="5"/>
    </row>
    <row r="385" spans="1:72" ht="12.75" customHeight="1" x14ac:dyDescent="0.2">
      <c r="A385" s="81"/>
      <c r="B385" s="82" t="s">
        <v>765</v>
      </c>
      <c r="C385" s="49">
        <v>33000</v>
      </c>
      <c r="D385" s="50">
        <v>13</v>
      </c>
      <c r="E385" s="49">
        <v>31898.080000000002</v>
      </c>
      <c r="F385" s="50" t="s">
        <v>63</v>
      </c>
      <c r="G385" s="51">
        <v>45995</v>
      </c>
      <c r="H385" s="52" t="s">
        <v>542</v>
      </c>
      <c r="I385" s="51" t="s">
        <v>180</v>
      </c>
      <c r="J385" s="52" t="s">
        <v>180</v>
      </c>
      <c r="K385" s="53" t="s">
        <v>180</v>
      </c>
      <c r="L385" s="53" t="s">
        <v>180</v>
      </c>
      <c r="M385" s="54"/>
      <c r="N385" s="54"/>
      <c r="O385" s="54"/>
      <c r="P385" s="85">
        <f t="shared" si="176"/>
        <v>0</v>
      </c>
      <c r="Q385" s="85">
        <f t="shared" si="177"/>
        <v>0</v>
      </c>
      <c r="R385" s="55" t="str">
        <f t="shared" si="188"/>
        <v>N/A</v>
      </c>
      <c r="S385" s="55" t="str">
        <f t="shared" si="189"/>
        <v>N/A</v>
      </c>
      <c r="T385" s="56"/>
      <c r="U385" s="5"/>
      <c r="V385" s="57"/>
      <c r="W385" s="58"/>
      <c r="X385" s="58"/>
      <c r="Y385" s="58"/>
      <c r="Z385" s="58"/>
      <c r="AA385" s="58"/>
      <c r="AB385" s="58"/>
      <c r="AC385" s="58"/>
      <c r="AD385" s="59"/>
      <c r="AE385" s="60"/>
      <c r="AF385" s="58"/>
      <c r="AG385" s="59"/>
      <c r="AH385" s="60"/>
      <c r="AI385" s="62"/>
      <c r="AJ385" s="62"/>
      <c r="AK385" s="63"/>
      <c r="AL385" s="86"/>
      <c r="AM385" s="5"/>
      <c r="AN385" s="5"/>
      <c r="AO385" s="5"/>
      <c r="AP385" s="65">
        <f t="shared" si="190"/>
        <v>0</v>
      </c>
      <c r="AQ385" s="16">
        <f t="shared" si="191"/>
        <v>0</v>
      </c>
      <c r="AR385" s="16">
        <f t="shared" si="192"/>
        <v>0</v>
      </c>
      <c r="AS385" s="66">
        <f t="shared" si="193"/>
        <v>0</v>
      </c>
      <c r="AT385" s="87">
        <f t="shared" si="194"/>
        <v>0</v>
      </c>
      <c r="AU385" s="88">
        <f t="shared" si="195"/>
        <v>0</v>
      </c>
      <c r="AV385" s="19">
        <f t="shared" si="196"/>
        <v>0</v>
      </c>
      <c r="AW385" s="89">
        <f t="shared" si="197"/>
        <v>0</v>
      </c>
      <c r="AX385" s="5"/>
      <c r="AY385" s="65">
        <f t="shared" si="198"/>
        <v>1</v>
      </c>
      <c r="AZ385" s="16">
        <f t="shared" si="199"/>
        <v>0</v>
      </c>
      <c r="BA385" s="16">
        <f t="shared" si="200"/>
        <v>0</v>
      </c>
      <c r="BB385" s="70">
        <f t="shared" si="201"/>
        <v>0</v>
      </c>
      <c r="BC385" s="87">
        <f t="shared" si="202"/>
        <v>0</v>
      </c>
      <c r="BD385" s="71">
        <f t="shared" si="203"/>
        <v>0</v>
      </c>
      <c r="BE385" s="19">
        <f t="shared" si="204"/>
        <v>0</v>
      </c>
      <c r="BF385" s="89">
        <f t="shared" si="205"/>
        <v>0</v>
      </c>
      <c r="BG385" s="5"/>
      <c r="BH385" s="90">
        <f t="shared" si="206"/>
        <v>0</v>
      </c>
      <c r="BI385" s="91">
        <f t="shared" si="207"/>
        <v>0</v>
      </c>
      <c r="BJ385" s="94">
        <f t="shared" si="208"/>
        <v>0</v>
      </c>
      <c r="BK385" s="75"/>
      <c r="BL385" s="5"/>
      <c r="BM385" s="76">
        <f t="shared" si="209"/>
        <v>1</v>
      </c>
      <c r="BN385" s="5"/>
      <c r="BO385" s="5"/>
      <c r="BP385" s="5"/>
      <c r="BQ385" s="5"/>
      <c r="BR385" s="5"/>
      <c r="BS385" s="5"/>
      <c r="BT385" s="5"/>
    </row>
    <row r="386" spans="1:72" ht="12.75" customHeight="1" x14ac:dyDescent="0.2">
      <c r="A386" s="81"/>
      <c r="B386" s="95" t="s">
        <v>766</v>
      </c>
      <c r="C386" s="49">
        <v>57420</v>
      </c>
      <c r="D386" s="50">
        <v>13</v>
      </c>
      <c r="E386" s="49">
        <v>49163.72</v>
      </c>
      <c r="F386" s="50" t="s">
        <v>55</v>
      </c>
      <c r="G386" s="51">
        <v>46002</v>
      </c>
      <c r="H386" s="52" t="s">
        <v>542</v>
      </c>
      <c r="I386" s="50" t="s">
        <v>180</v>
      </c>
      <c r="J386" s="52" t="s">
        <v>180</v>
      </c>
      <c r="K386" s="53" t="s">
        <v>180</v>
      </c>
      <c r="L386" s="53" t="s">
        <v>180</v>
      </c>
      <c r="M386" s="54"/>
      <c r="N386" s="54"/>
      <c r="O386" s="54"/>
      <c r="P386" s="85">
        <f t="shared" si="176"/>
        <v>0</v>
      </c>
      <c r="Q386" s="85">
        <f t="shared" si="177"/>
        <v>0</v>
      </c>
      <c r="R386" s="93" t="s">
        <v>180</v>
      </c>
      <c r="S386" s="93" t="s">
        <v>180</v>
      </c>
      <c r="T386" s="56"/>
      <c r="U386" s="5"/>
      <c r="V386" s="57"/>
      <c r="W386" s="58"/>
      <c r="X386" s="58"/>
      <c r="Y386" s="58"/>
      <c r="Z386" s="58"/>
      <c r="AA386" s="58"/>
      <c r="AB386" s="58"/>
      <c r="AC386" s="58"/>
      <c r="AD386" s="59"/>
      <c r="AE386" s="60"/>
      <c r="AF386" s="58"/>
      <c r="AG386" s="59"/>
      <c r="AH386" s="60"/>
      <c r="AI386" s="62"/>
      <c r="AJ386" s="62"/>
      <c r="AK386" s="63"/>
      <c r="AL386" s="86"/>
      <c r="AM386" s="5"/>
      <c r="AN386" s="5"/>
      <c r="AO386" s="5"/>
      <c r="AP386" s="65"/>
      <c r="AQ386" s="16"/>
      <c r="AR386" s="16"/>
      <c r="AS386" s="66"/>
      <c r="AT386" s="87"/>
      <c r="AU386" s="88"/>
      <c r="AV386" s="19"/>
      <c r="AW386" s="89"/>
      <c r="AX386" s="5"/>
      <c r="AY386" s="65"/>
      <c r="AZ386" s="16"/>
      <c r="BA386" s="16"/>
      <c r="BB386" s="70"/>
      <c r="BC386" s="87"/>
      <c r="BD386" s="71"/>
      <c r="BE386" s="19"/>
      <c r="BF386" s="89"/>
      <c r="BG386" s="5"/>
      <c r="BH386" s="90"/>
      <c r="BI386" s="91"/>
      <c r="BJ386" s="94"/>
      <c r="BK386" s="75"/>
      <c r="BL386" s="5"/>
      <c r="BM386" s="76"/>
      <c r="BN386" s="5"/>
      <c r="BO386" s="5"/>
      <c r="BP386" s="5"/>
      <c r="BQ386" s="5"/>
      <c r="BR386" s="5"/>
      <c r="BS386" s="5"/>
      <c r="BT386" s="5"/>
    </row>
    <row r="387" spans="1:72" ht="12.75" customHeight="1" x14ac:dyDescent="0.2">
      <c r="A387" s="81"/>
      <c r="B387" s="82" t="s">
        <v>767</v>
      </c>
      <c r="C387" s="49">
        <v>39595.050000000003</v>
      </c>
      <c r="D387" s="50">
        <v>13</v>
      </c>
      <c r="E387" s="49">
        <v>29046.11</v>
      </c>
      <c r="F387" s="50" t="s">
        <v>63</v>
      </c>
      <c r="G387" s="51">
        <v>46014</v>
      </c>
      <c r="H387" s="52" t="s">
        <v>542</v>
      </c>
      <c r="I387" s="51" t="s">
        <v>180</v>
      </c>
      <c r="J387" s="52" t="s">
        <v>180</v>
      </c>
      <c r="K387" s="53" t="s">
        <v>180</v>
      </c>
      <c r="L387" s="53" t="s">
        <v>180</v>
      </c>
      <c r="M387" s="54"/>
      <c r="N387" s="54"/>
      <c r="O387" s="54"/>
      <c r="P387" s="85">
        <f t="shared" si="176"/>
        <v>0</v>
      </c>
      <c r="Q387" s="85">
        <f t="shared" si="177"/>
        <v>0</v>
      </c>
      <c r="R387" s="55" t="str">
        <f t="shared" ref="R387:R394" si="211">IF(J387="N/A","N/A",Q387/E387)</f>
        <v>N/A</v>
      </c>
      <c r="S387" s="55" t="str">
        <f t="shared" ref="S387:S394" si="212">IF(R387="N/A","N/A",MAX(0,1-R387))</f>
        <v>N/A</v>
      </c>
      <c r="T387" s="56"/>
      <c r="U387" s="5"/>
      <c r="V387" s="57"/>
      <c r="W387" s="58"/>
      <c r="X387" s="58"/>
      <c r="Y387" s="58"/>
      <c r="Z387" s="58"/>
      <c r="AA387" s="58"/>
      <c r="AB387" s="58"/>
      <c r="AC387" s="58"/>
      <c r="AD387" s="59"/>
      <c r="AE387" s="60"/>
      <c r="AF387" s="58"/>
      <c r="AG387" s="59"/>
      <c r="AH387" s="60"/>
      <c r="AI387" s="62"/>
      <c r="AJ387" s="62"/>
      <c r="AK387" s="63"/>
      <c r="AL387" s="86"/>
      <c r="AM387" s="5"/>
      <c r="AN387" s="5"/>
      <c r="AO387" s="5"/>
      <c r="AP387" s="65">
        <f t="shared" ref="AP387:AP394" si="213">IF(F387="Legal Foreclosure",1,0)</f>
        <v>0</v>
      </c>
      <c r="AQ387" s="16">
        <f t="shared" ref="AQ387:AQ394" si="214">IF(I387="N/A",0,1)</f>
        <v>0</v>
      </c>
      <c r="AR387" s="16">
        <f t="shared" ref="AR387:AR394" si="215">AP387*AQ387</f>
        <v>0</v>
      </c>
      <c r="AS387" s="66">
        <f t="shared" ref="AS387:AS394" si="216">(N387+O387)*AR387</f>
        <v>0</v>
      </c>
      <c r="AT387" s="87">
        <f t="shared" ref="AT387:AT394" si="217">E387*AR387</f>
        <v>0</v>
      </c>
      <c r="AU387" s="88">
        <f t="shared" ref="AU387:AU394" si="218">IF(AR387=1,J387,0)</f>
        <v>0</v>
      </c>
      <c r="AV387" s="19">
        <f t="shared" ref="AV387:AV394" si="219">AT387/$AT$400*AR387</f>
        <v>0</v>
      </c>
      <c r="AW387" s="89">
        <f t="shared" ref="AW387:AW394" si="220">IF(AR387=0,0,R387*AV387)</f>
        <v>0</v>
      </c>
      <c r="AX387" s="5"/>
      <c r="AY387" s="65">
        <f t="shared" ref="AY387:AY394" si="221">IF(F387="Deed in Lieu",1,0)</f>
        <v>1</v>
      </c>
      <c r="AZ387" s="16">
        <f t="shared" ref="AZ387:AZ394" si="222">IF(I387="N/A",0,1)</f>
        <v>0</v>
      </c>
      <c r="BA387" s="16">
        <f t="shared" ref="BA387:BA394" si="223">AY387*AZ387</f>
        <v>0</v>
      </c>
      <c r="BB387" s="70">
        <f t="shared" ref="BB387:BB394" si="224">(N387+O387)*BA387</f>
        <v>0</v>
      </c>
      <c r="BC387" s="87">
        <f t="shared" ref="BC387:BC394" si="225">E387*BA387</f>
        <v>0</v>
      </c>
      <c r="BD387" s="71">
        <f t="shared" ref="BD387:BD394" si="226">IF(BA387=1,J387,0)</f>
        <v>0</v>
      </c>
      <c r="BE387" s="19">
        <f t="shared" ref="BE387:BE394" si="227">BC387/$BC$400*BA387</f>
        <v>0</v>
      </c>
      <c r="BF387" s="89">
        <f t="shared" ref="BF387:BF394" si="228">IF(BA387=0,0,R387*BE387)</f>
        <v>0</v>
      </c>
      <c r="BG387" s="5"/>
      <c r="BH387" s="90">
        <f t="shared" ref="BH387:BH394" si="229">AT387+BC387</f>
        <v>0</v>
      </c>
      <c r="BI387" s="91">
        <f t="shared" ref="BI387:BI394" si="230">AR387+BA387</f>
        <v>0</v>
      </c>
      <c r="BJ387" s="94">
        <f t="shared" ref="BJ387:BJ394" si="231">BH387/$BH$400</f>
        <v>0</v>
      </c>
      <c r="BK387" s="75"/>
      <c r="BL387" s="5"/>
      <c r="BM387" s="76">
        <f t="shared" ref="BM387:BM394" si="232">IF(E387&gt;1,1,0)</f>
        <v>1</v>
      </c>
      <c r="BN387" s="5"/>
      <c r="BO387" s="5"/>
      <c r="BP387" s="5"/>
      <c r="BQ387" s="5"/>
      <c r="BR387" s="5"/>
      <c r="BS387" s="5"/>
      <c r="BT387" s="5"/>
    </row>
    <row r="388" spans="1:72" ht="12.75" customHeight="1" x14ac:dyDescent="0.2">
      <c r="A388" s="81"/>
      <c r="B388" s="82" t="s">
        <v>768</v>
      </c>
      <c r="C388" s="49">
        <v>78210</v>
      </c>
      <c r="D388" s="50">
        <v>13</v>
      </c>
      <c r="E388" s="49">
        <v>70946.69</v>
      </c>
      <c r="F388" s="50" t="s">
        <v>55</v>
      </c>
      <c r="G388" s="51">
        <v>45982</v>
      </c>
      <c r="H388" s="52" t="s">
        <v>542</v>
      </c>
      <c r="I388" s="51" t="s">
        <v>180</v>
      </c>
      <c r="J388" s="52" t="s">
        <v>180</v>
      </c>
      <c r="K388" s="53" t="s">
        <v>180</v>
      </c>
      <c r="L388" s="53" t="s">
        <v>180</v>
      </c>
      <c r="M388" s="54"/>
      <c r="N388" s="54"/>
      <c r="O388" s="54"/>
      <c r="P388" s="85">
        <f t="shared" si="176"/>
        <v>0</v>
      </c>
      <c r="Q388" s="85">
        <f t="shared" si="177"/>
        <v>0</v>
      </c>
      <c r="R388" s="55" t="str">
        <f t="shared" si="211"/>
        <v>N/A</v>
      </c>
      <c r="S388" s="55" t="str">
        <f t="shared" si="212"/>
        <v>N/A</v>
      </c>
      <c r="T388" s="56"/>
      <c r="U388" s="5"/>
      <c r="V388" s="57"/>
      <c r="W388" s="58"/>
      <c r="X388" s="58"/>
      <c r="Y388" s="58"/>
      <c r="Z388" s="58"/>
      <c r="AA388" s="58"/>
      <c r="AB388" s="58"/>
      <c r="AC388" s="58"/>
      <c r="AD388" s="59"/>
      <c r="AE388" s="60"/>
      <c r="AF388" s="58"/>
      <c r="AG388" s="59"/>
      <c r="AH388" s="60"/>
      <c r="AI388" s="62"/>
      <c r="AJ388" s="62"/>
      <c r="AK388" s="63"/>
      <c r="AL388" s="86"/>
      <c r="AM388" s="5"/>
      <c r="AN388" s="5"/>
      <c r="AO388" s="5"/>
      <c r="AP388" s="65">
        <f t="shared" si="213"/>
        <v>1</v>
      </c>
      <c r="AQ388" s="16">
        <f t="shared" si="214"/>
        <v>0</v>
      </c>
      <c r="AR388" s="16">
        <f t="shared" si="215"/>
        <v>0</v>
      </c>
      <c r="AS388" s="66">
        <f t="shared" si="216"/>
        <v>0</v>
      </c>
      <c r="AT388" s="87">
        <f t="shared" si="217"/>
        <v>0</v>
      </c>
      <c r="AU388" s="88">
        <f t="shared" si="218"/>
        <v>0</v>
      </c>
      <c r="AV388" s="19">
        <f t="shared" si="219"/>
        <v>0</v>
      </c>
      <c r="AW388" s="89">
        <f t="shared" si="220"/>
        <v>0</v>
      </c>
      <c r="AX388" s="5"/>
      <c r="AY388" s="65">
        <f t="shared" si="221"/>
        <v>0</v>
      </c>
      <c r="AZ388" s="16">
        <f t="shared" si="222"/>
        <v>0</v>
      </c>
      <c r="BA388" s="16">
        <f t="shared" si="223"/>
        <v>0</v>
      </c>
      <c r="BB388" s="70">
        <f t="shared" si="224"/>
        <v>0</v>
      </c>
      <c r="BC388" s="87">
        <f t="shared" si="225"/>
        <v>0</v>
      </c>
      <c r="BD388" s="71">
        <f t="shared" si="226"/>
        <v>0</v>
      </c>
      <c r="BE388" s="19">
        <f t="shared" si="227"/>
        <v>0</v>
      </c>
      <c r="BF388" s="89">
        <f t="shared" si="228"/>
        <v>0</v>
      </c>
      <c r="BG388" s="5"/>
      <c r="BH388" s="90">
        <f t="shared" si="229"/>
        <v>0</v>
      </c>
      <c r="BI388" s="91">
        <f t="shared" si="230"/>
        <v>0</v>
      </c>
      <c r="BJ388" s="94">
        <f t="shared" si="231"/>
        <v>0</v>
      </c>
      <c r="BK388" s="75"/>
      <c r="BL388" s="5"/>
      <c r="BM388" s="76">
        <f t="shared" si="232"/>
        <v>1</v>
      </c>
      <c r="BN388" s="5"/>
      <c r="BO388" s="5"/>
      <c r="BP388" s="5"/>
      <c r="BQ388" s="5"/>
      <c r="BR388" s="5"/>
      <c r="BS388" s="5"/>
      <c r="BT388" s="5"/>
    </row>
    <row r="389" spans="1:72" ht="12.75" customHeight="1" x14ac:dyDescent="0.2">
      <c r="A389" s="81"/>
      <c r="B389" s="82" t="s">
        <v>769</v>
      </c>
      <c r="C389" s="49">
        <v>81000</v>
      </c>
      <c r="D389" s="50">
        <v>13</v>
      </c>
      <c r="E389" s="49">
        <v>79290.25</v>
      </c>
      <c r="F389" s="50" t="s">
        <v>55</v>
      </c>
      <c r="G389" s="51">
        <v>45993</v>
      </c>
      <c r="H389" s="52" t="s">
        <v>542</v>
      </c>
      <c r="I389" s="51" t="s">
        <v>180</v>
      </c>
      <c r="J389" s="52" t="s">
        <v>180</v>
      </c>
      <c r="K389" s="53" t="s">
        <v>180</v>
      </c>
      <c r="L389" s="53" t="s">
        <v>180</v>
      </c>
      <c r="M389" s="54"/>
      <c r="N389" s="54"/>
      <c r="O389" s="54"/>
      <c r="P389" s="85">
        <f t="shared" si="176"/>
        <v>0</v>
      </c>
      <c r="Q389" s="85">
        <f t="shared" si="177"/>
        <v>0</v>
      </c>
      <c r="R389" s="55" t="str">
        <f t="shared" si="211"/>
        <v>N/A</v>
      </c>
      <c r="S389" s="55" t="str">
        <f t="shared" si="212"/>
        <v>N/A</v>
      </c>
      <c r="T389" s="56"/>
      <c r="U389" s="5"/>
      <c r="V389" s="57"/>
      <c r="W389" s="58"/>
      <c r="X389" s="58"/>
      <c r="Y389" s="58"/>
      <c r="Z389" s="58"/>
      <c r="AA389" s="58"/>
      <c r="AB389" s="58"/>
      <c r="AC389" s="58"/>
      <c r="AD389" s="59"/>
      <c r="AE389" s="60"/>
      <c r="AF389" s="58"/>
      <c r="AG389" s="59"/>
      <c r="AH389" s="60"/>
      <c r="AI389" s="62"/>
      <c r="AJ389" s="62"/>
      <c r="AK389" s="63"/>
      <c r="AL389" s="86"/>
      <c r="AM389" s="5"/>
      <c r="AN389" s="5"/>
      <c r="AO389" s="5"/>
      <c r="AP389" s="65">
        <f t="shared" si="213"/>
        <v>1</v>
      </c>
      <c r="AQ389" s="16">
        <f t="shared" si="214"/>
        <v>0</v>
      </c>
      <c r="AR389" s="16">
        <f t="shared" si="215"/>
        <v>0</v>
      </c>
      <c r="AS389" s="66">
        <f t="shared" si="216"/>
        <v>0</v>
      </c>
      <c r="AT389" s="87">
        <f t="shared" si="217"/>
        <v>0</v>
      </c>
      <c r="AU389" s="88">
        <f t="shared" si="218"/>
        <v>0</v>
      </c>
      <c r="AV389" s="19">
        <f t="shared" si="219"/>
        <v>0</v>
      </c>
      <c r="AW389" s="89">
        <f t="shared" si="220"/>
        <v>0</v>
      </c>
      <c r="AX389" s="5"/>
      <c r="AY389" s="65">
        <f t="shared" si="221"/>
        <v>0</v>
      </c>
      <c r="AZ389" s="16">
        <f t="shared" si="222"/>
        <v>0</v>
      </c>
      <c r="BA389" s="16">
        <f t="shared" si="223"/>
        <v>0</v>
      </c>
      <c r="BB389" s="70">
        <f t="shared" si="224"/>
        <v>0</v>
      </c>
      <c r="BC389" s="87">
        <f t="shared" si="225"/>
        <v>0</v>
      </c>
      <c r="BD389" s="71">
        <f t="shared" si="226"/>
        <v>0</v>
      </c>
      <c r="BE389" s="19">
        <f t="shared" si="227"/>
        <v>0</v>
      </c>
      <c r="BF389" s="89">
        <f t="shared" si="228"/>
        <v>0</v>
      </c>
      <c r="BG389" s="5"/>
      <c r="BH389" s="90">
        <f t="shared" si="229"/>
        <v>0</v>
      </c>
      <c r="BI389" s="91">
        <f t="shared" si="230"/>
        <v>0</v>
      </c>
      <c r="BJ389" s="94">
        <f t="shared" si="231"/>
        <v>0</v>
      </c>
      <c r="BK389" s="75"/>
      <c r="BL389" s="5"/>
      <c r="BM389" s="76">
        <f t="shared" si="232"/>
        <v>1</v>
      </c>
      <c r="BN389" s="5"/>
      <c r="BO389" s="5"/>
      <c r="BP389" s="5"/>
      <c r="BQ389" s="5"/>
      <c r="BR389" s="5"/>
      <c r="BS389" s="5"/>
      <c r="BT389" s="5"/>
    </row>
    <row r="390" spans="1:72" ht="12.75" customHeight="1" x14ac:dyDescent="0.2">
      <c r="A390" s="81"/>
      <c r="B390" s="82" t="s">
        <v>770</v>
      </c>
      <c r="C390" s="49">
        <v>59400</v>
      </c>
      <c r="D390" s="50">
        <v>13</v>
      </c>
      <c r="E390" s="49">
        <v>54333.58</v>
      </c>
      <c r="F390" s="50" t="s">
        <v>55</v>
      </c>
      <c r="G390" s="51">
        <v>45993</v>
      </c>
      <c r="H390" s="52" t="s">
        <v>542</v>
      </c>
      <c r="I390" s="51" t="s">
        <v>180</v>
      </c>
      <c r="J390" s="52" t="s">
        <v>180</v>
      </c>
      <c r="K390" s="53" t="s">
        <v>180</v>
      </c>
      <c r="L390" s="53" t="s">
        <v>180</v>
      </c>
      <c r="M390" s="54"/>
      <c r="N390" s="54"/>
      <c r="O390" s="54"/>
      <c r="P390" s="85">
        <f t="shared" si="176"/>
        <v>0</v>
      </c>
      <c r="Q390" s="85">
        <f t="shared" si="177"/>
        <v>0</v>
      </c>
      <c r="R390" s="55" t="str">
        <f t="shared" si="211"/>
        <v>N/A</v>
      </c>
      <c r="S390" s="55" t="str">
        <f t="shared" si="212"/>
        <v>N/A</v>
      </c>
      <c r="T390" s="56"/>
      <c r="U390" s="5"/>
      <c r="V390" s="57"/>
      <c r="W390" s="58"/>
      <c r="X390" s="58"/>
      <c r="Y390" s="58"/>
      <c r="Z390" s="58"/>
      <c r="AA390" s="58"/>
      <c r="AB390" s="58"/>
      <c r="AC390" s="58"/>
      <c r="AD390" s="59"/>
      <c r="AE390" s="60"/>
      <c r="AF390" s="58"/>
      <c r="AG390" s="59"/>
      <c r="AH390" s="60"/>
      <c r="AI390" s="62"/>
      <c r="AJ390" s="62"/>
      <c r="AK390" s="63"/>
      <c r="AL390" s="86"/>
      <c r="AM390" s="5"/>
      <c r="AN390" s="5"/>
      <c r="AO390" s="5"/>
      <c r="AP390" s="65">
        <f t="shared" si="213"/>
        <v>1</v>
      </c>
      <c r="AQ390" s="16">
        <f t="shared" si="214"/>
        <v>0</v>
      </c>
      <c r="AR390" s="16">
        <f t="shared" si="215"/>
        <v>0</v>
      </c>
      <c r="AS390" s="66">
        <f t="shared" si="216"/>
        <v>0</v>
      </c>
      <c r="AT390" s="87">
        <f t="shared" si="217"/>
        <v>0</v>
      </c>
      <c r="AU390" s="88">
        <f t="shared" si="218"/>
        <v>0</v>
      </c>
      <c r="AV390" s="19">
        <f t="shared" si="219"/>
        <v>0</v>
      </c>
      <c r="AW390" s="89">
        <f t="shared" si="220"/>
        <v>0</v>
      </c>
      <c r="AX390" s="5"/>
      <c r="AY390" s="65">
        <f t="shared" si="221"/>
        <v>0</v>
      </c>
      <c r="AZ390" s="16">
        <f t="shared" si="222"/>
        <v>0</v>
      </c>
      <c r="BA390" s="16">
        <f t="shared" si="223"/>
        <v>0</v>
      </c>
      <c r="BB390" s="70">
        <f t="shared" si="224"/>
        <v>0</v>
      </c>
      <c r="BC390" s="87">
        <f t="shared" si="225"/>
        <v>0</v>
      </c>
      <c r="BD390" s="71">
        <f t="shared" si="226"/>
        <v>0</v>
      </c>
      <c r="BE390" s="19">
        <f t="shared" si="227"/>
        <v>0</v>
      </c>
      <c r="BF390" s="89">
        <f t="shared" si="228"/>
        <v>0</v>
      </c>
      <c r="BG390" s="5"/>
      <c r="BH390" s="90">
        <f t="shared" si="229"/>
        <v>0</v>
      </c>
      <c r="BI390" s="91">
        <f t="shared" si="230"/>
        <v>0</v>
      </c>
      <c r="BJ390" s="94">
        <f t="shared" si="231"/>
        <v>0</v>
      </c>
      <c r="BK390" s="75"/>
      <c r="BL390" s="5"/>
      <c r="BM390" s="76">
        <f t="shared" si="232"/>
        <v>1</v>
      </c>
      <c r="BN390" s="5"/>
      <c r="BO390" s="5"/>
      <c r="BP390" s="5"/>
      <c r="BQ390" s="5"/>
      <c r="BR390" s="5"/>
      <c r="BS390" s="5"/>
      <c r="BT390" s="5"/>
    </row>
    <row r="391" spans="1:72" ht="12.75" customHeight="1" x14ac:dyDescent="0.2">
      <c r="A391" s="47"/>
      <c r="B391" s="82" t="s">
        <v>771</v>
      </c>
      <c r="C391" s="49">
        <f>20610.19+22700</f>
        <v>43310.19</v>
      </c>
      <c r="D391" s="50">
        <v>13</v>
      </c>
      <c r="E391" s="49">
        <v>40388.78</v>
      </c>
      <c r="F391" s="50" t="s">
        <v>63</v>
      </c>
      <c r="G391" s="51">
        <v>46027</v>
      </c>
      <c r="H391" s="52" t="s">
        <v>542</v>
      </c>
      <c r="I391" s="51" t="s">
        <v>180</v>
      </c>
      <c r="J391" s="52" t="s">
        <v>180</v>
      </c>
      <c r="K391" s="53" t="s">
        <v>180</v>
      </c>
      <c r="L391" s="53" t="s">
        <v>180</v>
      </c>
      <c r="M391" s="54"/>
      <c r="N391" s="54"/>
      <c r="O391" s="54"/>
      <c r="P391" s="85">
        <f t="shared" si="176"/>
        <v>0</v>
      </c>
      <c r="Q391" s="85">
        <f t="shared" si="177"/>
        <v>0</v>
      </c>
      <c r="R391" s="55" t="str">
        <f t="shared" si="211"/>
        <v>N/A</v>
      </c>
      <c r="S391" s="55" t="str">
        <f t="shared" si="212"/>
        <v>N/A</v>
      </c>
      <c r="T391" s="56"/>
      <c r="V391" s="57"/>
      <c r="W391" s="58"/>
      <c r="X391" s="58"/>
      <c r="Y391" s="58"/>
      <c r="Z391" s="58"/>
      <c r="AA391" s="58"/>
      <c r="AB391" s="58"/>
      <c r="AC391" s="58"/>
      <c r="AD391" s="59"/>
      <c r="AE391" s="60"/>
      <c r="AF391" s="61"/>
      <c r="AG391" s="59"/>
      <c r="AH391" s="60"/>
      <c r="AI391" s="62"/>
      <c r="AJ391" s="62"/>
      <c r="AK391" s="63"/>
      <c r="AL391" s="64"/>
      <c r="AP391" s="65">
        <f t="shared" si="213"/>
        <v>0</v>
      </c>
      <c r="AQ391" s="16">
        <f t="shared" si="214"/>
        <v>0</v>
      </c>
      <c r="AR391" s="16">
        <f t="shared" si="215"/>
        <v>0</v>
      </c>
      <c r="AS391" s="66">
        <f t="shared" si="216"/>
        <v>0</v>
      </c>
      <c r="AT391" s="87">
        <f t="shared" si="217"/>
        <v>0</v>
      </c>
      <c r="AU391" s="88">
        <f t="shared" si="218"/>
        <v>0</v>
      </c>
      <c r="AV391" s="19">
        <f t="shared" si="219"/>
        <v>0</v>
      </c>
      <c r="AW391" s="89">
        <f t="shared" si="220"/>
        <v>0</v>
      </c>
      <c r="AY391" s="65">
        <f t="shared" si="221"/>
        <v>1</v>
      </c>
      <c r="AZ391" s="16">
        <f t="shared" si="222"/>
        <v>0</v>
      </c>
      <c r="BA391" s="16">
        <f t="shared" si="223"/>
        <v>0</v>
      </c>
      <c r="BB391" s="70">
        <f t="shared" si="224"/>
        <v>0</v>
      </c>
      <c r="BC391" s="87">
        <f t="shared" si="225"/>
        <v>0</v>
      </c>
      <c r="BD391" s="71">
        <f t="shared" si="226"/>
        <v>0</v>
      </c>
      <c r="BE391" s="19">
        <f t="shared" si="227"/>
        <v>0</v>
      </c>
      <c r="BF391" s="89">
        <f t="shared" si="228"/>
        <v>0</v>
      </c>
      <c r="BH391" s="90">
        <f t="shared" si="229"/>
        <v>0</v>
      </c>
      <c r="BI391" s="91">
        <f t="shared" si="230"/>
        <v>0</v>
      </c>
      <c r="BJ391" s="94">
        <f t="shared" si="231"/>
        <v>0</v>
      </c>
      <c r="BK391" s="75"/>
      <c r="BM391" s="76">
        <f t="shared" si="232"/>
        <v>1</v>
      </c>
    </row>
    <row r="392" spans="1:72" ht="12.75" customHeight="1" x14ac:dyDescent="0.2">
      <c r="A392" s="47"/>
      <c r="B392" s="82" t="s">
        <v>772</v>
      </c>
      <c r="C392" s="49">
        <v>35400</v>
      </c>
      <c r="D392" s="50">
        <v>13</v>
      </c>
      <c r="E392" s="49">
        <v>29677.53</v>
      </c>
      <c r="F392" s="50" t="s">
        <v>55</v>
      </c>
      <c r="G392" s="51">
        <v>45751</v>
      </c>
      <c r="H392" s="52" t="s">
        <v>542</v>
      </c>
      <c r="I392" s="51" t="s">
        <v>180</v>
      </c>
      <c r="J392" s="52" t="s">
        <v>180</v>
      </c>
      <c r="K392" s="53" t="s">
        <v>180</v>
      </c>
      <c r="L392" s="53" t="s">
        <v>180</v>
      </c>
      <c r="M392" s="54"/>
      <c r="N392" s="54"/>
      <c r="O392" s="54"/>
      <c r="P392" s="85">
        <f t="shared" si="176"/>
        <v>0</v>
      </c>
      <c r="Q392" s="85">
        <f t="shared" si="177"/>
        <v>0</v>
      </c>
      <c r="R392" s="55" t="str">
        <f t="shared" si="211"/>
        <v>N/A</v>
      </c>
      <c r="S392" s="55" t="str">
        <f t="shared" si="212"/>
        <v>N/A</v>
      </c>
      <c r="T392" s="56"/>
      <c r="V392" s="57"/>
      <c r="W392" s="58"/>
      <c r="X392" s="58"/>
      <c r="Y392" s="58"/>
      <c r="Z392" s="58"/>
      <c r="AA392" s="58"/>
      <c r="AB392" s="58"/>
      <c r="AC392" s="58"/>
      <c r="AD392" s="59"/>
      <c r="AE392" s="60"/>
      <c r="AF392" s="61"/>
      <c r="AG392" s="59"/>
      <c r="AH392" s="60"/>
      <c r="AI392" s="62"/>
      <c r="AJ392" s="62"/>
      <c r="AK392" s="63"/>
      <c r="AL392" s="64"/>
      <c r="AP392" s="65">
        <f t="shared" si="213"/>
        <v>1</v>
      </c>
      <c r="AQ392" s="16">
        <f t="shared" si="214"/>
        <v>0</v>
      </c>
      <c r="AR392" s="16">
        <f t="shared" si="215"/>
        <v>0</v>
      </c>
      <c r="AS392" s="66">
        <f t="shared" si="216"/>
        <v>0</v>
      </c>
      <c r="AT392" s="87">
        <f t="shared" si="217"/>
        <v>0</v>
      </c>
      <c r="AU392" s="88">
        <f t="shared" si="218"/>
        <v>0</v>
      </c>
      <c r="AV392" s="19">
        <f t="shared" si="219"/>
        <v>0</v>
      </c>
      <c r="AW392" s="89">
        <f t="shared" si="220"/>
        <v>0</v>
      </c>
      <c r="AY392" s="65">
        <f t="shared" si="221"/>
        <v>0</v>
      </c>
      <c r="AZ392" s="16">
        <f t="shared" si="222"/>
        <v>0</v>
      </c>
      <c r="BA392" s="16">
        <f t="shared" si="223"/>
        <v>0</v>
      </c>
      <c r="BB392" s="70">
        <f t="shared" si="224"/>
        <v>0</v>
      </c>
      <c r="BC392" s="87">
        <f t="shared" si="225"/>
        <v>0</v>
      </c>
      <c r="BD392" s="71">
        <f t="shared" si="226"/>
        <v>0</v>
      </c>
      <c r="BE392" s="19">
        <f t="shared" si="227"/>
        <v>0</v>
      </c>
      <c r="BF392" s="89">
        <f t="shared" si="228"/>
        <v>0</v>
      </c>
      <c r="BH392" s="90">
        <f t="shared" si="229"/>
        <v>0</v>
      </c>
      <c r="BI392" s="91">
        <f t="shared" si="230"/>
        <v>0</v>
      </c>
      <c r="BJ392" s="94">
        <f t="shared" si="231"/>
        <v>0</v>
      </c>
      <c r="BK392" s="75"/>
      <c r="BM392" s="76">
        <f t="shared" si="232"/>
        <v>1</v>
      </c>
    </row>
    <row r="393" spans="1:72" ht="12.75" customHeight="1" x14ac:dyDescent="0.2">
      <c r="A393" s="47"/>
      <c r="B393" s="82" t="s">
        <v>773</v>
      </c>
      <c r="C393" s="49">
        <v>40500</v>
      </c>
      <c r="D393" s="50">
        <v>13</v>
      </c>
      <c r="E393" s="49">
        <v>39228.54</v>
      </c>
      <c r="F393" s="50" t="s">
        <v>63</v>
      </c>
      <c r="G393" s="51">
        <v>46106</v>
      </c>
      <c r="H393" s="52" t="s">
        <v>56</v>
      </c>
      <c r="I393" s="51">
        <v>46202</v>
      </c>
      <c r="J393" s="52">
        <v>3</v>
      </c>
      <c r="K393" s="53" t="s">
        <v>774</v>
      </c>
      <c r="L393" s="53">
        <v>50697.31</v>
      </c>
      <c r="M393" s="85">
        <v>2684.61</v>
      </c>
      <c r="N393" s="85">
        <v>6483.36</v>
      </c>
      <c r="O393" s="85">
        <v>769.05</v>
      </c>
      <c r="P393" s="85">
        <f t="shared" si="176"/>
        <v>0</v>
      </c>
      <c r="Q393" s="85">
        <f t="shared" si="177"/>
        <v>0</v>
      </c>
      <c r="R393" s="55">
        <f t="shared" si="211"/>
        <v>0</v>
      </c>
      <c r="S393" s="55">
        <f t="shared" si="212"/>
        <v>1</v>
      </c>
      <c r="T393" s="56"/>
      <c r="V393" s="57"/>
      <c r="W393" s="58"/>
      <c r="X393" s="58"/>
      <c r="Y393" s="58"/>
      <c r="Z393" s="58"/>
      <c r="AA393" s="58"/>
      <c r="AB393" s="58"/>
      <c r="AC393" s="58"/>
      <c r="AD393" s="59"/>
      <c r="AE393" s="60"/>
      <c r="AF393" s="61"/>
      <c r="AG393" s="59"/>
      <c r="AH393" s="60"/>
      <c r="AI393" s="62"/>
      <c r="AJ393" s="62"/>
      <c r="AK393" s="63"/>
      <c r="AL393" s="64"/>
      <c r="AP393" s="65">
        <f t="shared" si="213"/>
        <v>0</v>
      </c>
      <c r="AQ393" s="16">
        <f t="shared" si="214"/>
        <v>1</v>
      </c>
      <c r="AR393" s="16">
        <f t="shared" si="215"/>
        <v>0</v>
      </c>
      <c r="AS393" s="66">
        <f t="shared" si="216"/>
        <v>0</v>
      </c>
      <c r="AT393" s="87">
        <f t="shared" si="217"/>
        <v>0</v>
      </c>
      <c r="AU393" s="88">
        <f t="shared" si="218"/>
        <v>0</v>
      </c>
      <c r="AV393" s="19">
        <f t="shared" si="219"/>
        <v>0</v>
      </c>
      <c r="AW393" s="89">
        <f t="shared" si="220"/>
        <v>0</v>
      </c>
      <c r="AY393" s="65">
        <f t="shared" si="221"/>
        <v>1</v>
      </c>
      <c r="AZ393" s="16">
        <f t="shared" si="222"/>
        <v>1</v>
      </c>
      <c r="BA393" s="16">
        <f t="shared" si="223"/>
        <v>1</v>
      </c>
      <c r="BB393" s="70">
        <f t="shared" si="224"/>
        <v>7252.41</v>
      </c>
      <c r="BC393" s="87">
        <f t="shared" si="225"/>
        <v>39228.54</v>
      </c>
      <c r="BD393" s="71">
        <f t="shared" si="226"/>
        <v>3</v>
      </c>
      <c r="BE393" s="19">
        <f t="shared" si="227"/>
        <v>8.9119375361654853E-3</v>
      </c>
      <c r="BF393" s="89">
        <f t="shared" si="228"/>
        <v>0</v>
      </c>
      <c r="BH393" s="90">
        <f t="shared" si="229"/>
        <v>39228.54</v>
      </c>
      <c r="BI393" s="91">
        <f t="shared" si="230"/>
        <v>1</v>
      </c>
      <c r="BJ393" s="94">
        <f t="shared" si="231"/>
        <v>3.4874922245942946E-3</v>
      </c>
      <c r="BK393" s="75"/>
      <c r="BM393" s="76">
        <f t="shared" si="232"/>
        <v>1</v>
      </c>
    </row>
    <row r="394" spans="1:72" ht="12.75" customHeight="1" x14ac:dyDescent="0.2">
      <c r="A394" s="47"/>
      <c r="B394" s="82" t="s">
        <v>775</v>
      </c>
      <c r="C394" s="49">
        <v>45737.99</v>
      </c>
      <c r="D394" s="50">
        <v>13</v>
      </c>
      <c r="E394" s="49">
        <v>41908.97</v>
      </c>
      <c r="F394" s="50" t="s">
        <v>63</v>
      </c>
      <c r="G394" s="51">
        <v>46118</v>
      </c>
      <c r="H394" s="52" t="s">
        <v>542</v>
      </c>
      <c r="I394" s="50" t="s">
        <v>180</v>
      </c>
      <c r="J394" s="52" t="s">
        <v>180</v>
      </c>
      <c r="K394" s="53" t="s">
        <v>180</v>
      </c>
      <c r="L394" s="53" t="s">
        <v>180</v>
      </c>
      <c r="M394" s="85">
        <v>2400.9699999999998</v>
      </c>
      <c r="N394" s="85">
        <v>4527.32</v>
      </c>
      <c r="O394" s="85">
        <v>1951.15</v>
      </c>
      <c r="P394" s="85">
        <f t="shared" si="176"/>
        <v>0</v>
      </c>
      <c r="Q394" s="85">
        <f t="shared" si="177"/>
        <v>0</v>
      </c>
      <c r="R394" s="55" t="str">
        <f t="shared" si="211"/>
        <v>N/A</v>
      </c>
      <c r="S394" s="55" t="str">
        <f t="shared" si="212"/>
        <v>N/A</v>
      </c>
      <c r="T394" s="56"/>
      <c r="V394" s="57"/>
      <c r="W394" s="58"/>
      <c r="X394" s="58"/>
      <c r="Y394" s="58"/>
      <c r="Z394" s="58"/>
      <c r="AA394" s="58"/>
      <c r="AB394" s="58"/>
      <c r="AC394" s="58"/>
      <c r="AD394" s="59"/>
      <c r="AE394" s="60"/>
      <c r="AF394" s="61"/>
      <c r="AG394" s="59"/>
      <c r="AH394" s="60"/>
      <c r="AI394" s="62"/>
      <c r="AJ394" s="62"/>
      <c r="AK394" s="63"/>
      <c r="AL394" s="64"/>
      <c r="AP394" s="65">
        <f t="shared" si="213"/>
        <v>0</v>
      </c>
      <c r="AQ394" s="16">
        <f t="shared" si="214"/>
        <v>0</v>
      </c>
      <c r="AR394" s="16">
        <f t="shared" si="215"/>
        <v>0</v>
      </c>
      <c r="AS394" s="66">
        <f t="shared" si="216"/>
        <v>0</v>
      </c>
      <c r="AT394" s="87">
        <f t="shared" si="217"/>
        <v>0</v>
      </c>
      <c r="AU394" s="88">
        <f t="shared" si="218"/>
        <v>0</v>
      </c>
      <c r="AV394" s="19">
        <f t="shared" si="219"/>
        <v>0</v>
      </c>
      <c r="AW394" s="89">
        <f t="shared" si="220"/>
        <v>0</v>
      </c>
      <c r="AY394" s="65">
        <f t="shared" si="221"/>
        <v>1</v>
      </c>
      <c r="AZ394" s="16">
        <f t="shared" si="222"/>
        <v>0</v>
      </c>
      <c r="BA394" s="16">
        <f t="shared" si="223"/>
        <v>0</v>
      </c>
      <c r="BB394" s="70">
        <f t="shared" si="224"/>
        <v>0</v>
      </c>
      <c r="BC394" s="87">
        <f t="shared" si="225"/>
        <v>0</v>
      </c>
      <c r="BD394" s="71">
        <f t="shared" si="226"/>
        <v>0</v>
      </c>
      <c r="BE394" s="19">
        <f t="shared" si="227"/>
        <v>0</v>
      </c>
      <c r="BF394" s="89">
        <f t="shared" si="228"/>
        <v>0</v>
      </c>
      <c r="BH394" s="90">
        <f t="shared" si="229"/>
        <v>0</v>
      </c>
      <c r="BI394" s="91">
        <f t="shared" si="230"/>
        <v>0</v>
      </c>
      <c r="BJ394" s="94">
        <f t="shared" si="231"/>
        <v>0</v>
      </c>
      <c r="BK394" s="75"/>
      <c r="BM394" s="76">
        <f t="shared" si="232"/>
        <v>1</v>
      </c>
    </row>
    <row r="395" spans="1:72" ht="12.75" customHeight="1" x14ac:dyDescent="0.2">
      <c r="A395" s="47"/>
      <c r="B395" s="48" t="s">
        <v>776</v>
      </c>
      <c r="C395" s="49">
        <v>30014.33</v>
      </c>
      <c r="D395" s="50">
        <v>13</v>
      </c>
      <c r="E395" s="49">
        <v>27334.67</v>
      </c>
      <c r="F395" s="50" t="s">
        <v>55</v>
      </c>
      <c r="G395" s="51">
        <v>46136</v>
      </c>
      <c r="H395" s="52" t="s">
        <v>542</v>
      </c>
      <c r="I395" s="50" t="s">
        <v>180</v>
      </c>
      <c r="J395" s="52" t="s">
        <v>180</v>
      </c>
      <c r="K395" s="53" t="s">
        <v>180</v>
      </c>
      <c r="L395" s="53" t="s">
        <v>180</v>
      </c>
      <c r="M395" s="85"/>
      <c r="N395" s="85"/>
      <c r="O395" s="85"/>
      <c r="P395" s="85">
        <f t="shared" si="176"/>
        <v>0</v>
      </c>
      <c r="Q395" s="85">
        <f t="shared" si="177"/>
        <v>0</v>
      </c>
      <c r="R395" s="93" t="s">
        <v>180</v>
      </c>
      <c r="S395" s="93" t="s">
        <v>180</v>
      </c>
      <c r="T395" s="56"/>
      <c r="V395" s="57"/>
      <c r="W395" s="58"/>
      <c r="X395" s="58"/>
      <c r="Y395" s="58"/>
      <c r="Z395" s="58"/>
      <c r="AA395" s="58"/>
      <c r="AB395" s="58"/>
      <c r="AC395" s="58"/>
      <c r="AD395" s="59"/>
      <c r="AE395" s="60"/>
      <c r="AF395" s="61"/>
      <c r="AG395" s="59"/>
      <c r="AH395" s="60"/>
      <c r="AI395" s="62"/>
      <c r="AJ395" s="62"/>
      <c r="AK395" s="63"/>
      <c r="AL395" s="64"/>
      <c r="AP395" s="65"/>
      <c r="AQ395" s="16"/>
      <c r="AR395" s="16"/>
      <c r="AS395" s="66"/>
      <c r="AT395" s="87"/>
      <c r="AU395" s="88"/>
      <c r="AV395" s="19"/>
      <c r="AW395" s="89"/>
      <c r="AY395" s="65"/>
      <c r="AZ395" s="16"/>
      <c r="BA395" s="16"/>
      <c r="BB395" s="70"/>
      <c r="BC395" s="87"/>
      <c r="BD395" s="71"/>
      <c r="BE395" s="19"/>
      <c r="BF395" s="89"/>
      <c r="BH395" s="90"/>
      <c r="BI395" s="91"/>
      <c r="BJ395" s="94"/>
      <c r="BK395" s="75"/>
      <c r="BM395" s="76"/>
    </row>
    <row r="396" spans="1:72" ht="12.75" customHeight="1" x14ac:dyDescent="0.2">
      <c r="A396" s="47"/>
      <c r="B396" s="82" t="s">
        <v>777</v>
      </c>
      <c r="C396" s="49">
        <v>68805</v>
      </c>
      <c r="D396" s="50">
        <v>13</v>
      </c>
      <c r="E396" s="96">
        <v>65615.56</v>
      </c>
      <c r="F396" s="50" t="s">
        <v>55</v>
      </c>
      <c r="G396" s="51">
        <v>46142</v>
      </c>
      <c r="H396" s="52" t="s">
        <v>542</v>
      </c>
      <c r="I396" s="50" t="s">
        <v>180</v>
      </c>
      <c r="J396" s="52" t="s">
        <v>180</v>
      </c>
      <c r="K396" s="53" t="s">
        <v>180</v>
      </c>
      <c r="L396" s="53" t="s">
        <v>180</v>
      </c>
      <c r="M396" s="85">
        <v>6376.14</v>
      </c>
      <c r="N396" s="85">
        <v>6747.2</v>
      </c>
      <c r="O396" s="85">
        <v>15</v>
      </c>
      <c r="P396" s="85">
        <f t="shared" si="176"/>
        <v>0</v>
      </c>
      <c r="Q396" s="85">
        <f t="shared" si="177"/>
        <v>0</v>
      </c>
      <c r="R396" s="55" t="str">
        <f>IF(J396="N/A","N/A",Q396/E396)</f>
        <v>N/A</v>
      </c>
      <c r="S396" s="55" t="str">
        <f>IF(R396="N/A","N/A",MAX(0,1-R396))</f>
        <v>N/A</v>
      </c>
      <c r="T396" s="56"/>
      <c r="V396" s="57"/>
      <c r="W396" s="58"/>
      <c r="X396" s="58"/>
      <c r="Y396" s="58"/>
      <c r="Z396" s="58"/>
      <c r="AA396" s="58"/>
      <c r="AB396" s="58"/>
      <c r="AC396" s="58"/>
      <c r="AD396" s="59"/>
      <c r="AE396" s="60"/>
      <c r="AF396" s="61"/>
      <c r="AG396" s="59"/>
      <c r="AH396" s="60"/>
      <c r="AI396" s="62"/>
      <c r="AJ396" s="62"/>
      <c r="AK396" s="63"/>
      <c r="AL396" s="64"/>
      <c r="AP396" s="65">
        <f>IF(F396="Legal Foreclosure",1,0)</f>
        <v>1</v>
      </c>
      <c r="AQ396" s="16">
        <f>IF(I396="N/A",0,1)</f>
        <v>0</v>
      </c>
      <c r="AR396" s="16">
        <f>AP396*AQ396</f>
        <v>0</v>
      </c>
      <c r="AS396" s="66">
        <f>(N396+O396)*AR396</f>
        <v>0</v>
      </c>
      <c r="AT396" s="87">
        <f>E396*AR396</f>
        <v>0</v>
      </c>
      <c r="AU396" s="88">
        <f>IF(AR396=1,J396,0)</f>
        <v>0</v>
      </c>
      <c r="AV396" s="19">
        <f>AT396/$AT$400*AR396</f>
        <v>0</v>
      </c>
      <c r="AW396" s="89">
        <f>IF(AR396=0,0,R396*AV396)</f>
        <v>0</v>
      </c>
      <c r="AY396" s="65">
        <f>IF(F396="Deed in Lieu",1,0)</f>
        <v>0</v>
      </c>
      <c r="AZ396" s="16">
        <f>IF(I396="N/A",0,1)</f>
        <v>0</v>
      </c>
      <c r="BA396" s="16">
        <f>AY396*AZ396</f>
        <v>0</v>
      </c>
      <c r="BB396" s="70">
        <f>(N396+O396)*BA396</f>
        <v>0</v>
      </c>
      <c r="BC396" s="87">
        <f>E396*BA396</f>
        <v>0</v>
      </c>
      <c r="BD396" s="71">
        <f>IF(BA396=1,J396,0)</f>
        <v>0</v>
      </c>
      <c r="BE396" s="19">
        <f>BC396/$BC$400*BA396</f>
        <v>0</v>
      </c>
      <c r="BF396" s="89">
        <f>IF(BA396=0,0,R396*BE396)</f>
        <v>0</v>
      </c>
      <c r="BH396" s="90">
        <f>AT396+BC396</f>
        <v>0</v>
      </c>
      <c r="BI396" s="91">
        <f>AR396+BA396</f>
        <v>0</v>
      </c>
      <c r="BJ396" s="94">
        <f>BH396/$BH$400</f>
        <v>0</v>
      </c>
      <c r="BK396" s="75"/>
      <c r="BM396" s="76">
        <f>IF(E396&gt;1,1,0)</f>
        <v>1</v>
      </c>
    </row>
    <row r="397" spans="1:72" ht="12.75" customHeight="1" x14ac:dyDescent="0.2">
      <c r="A397" s="97"/>
      <c r="B397" s="48" t="s">
        <v>778</v>
      </c>
      <c r="C397" s="49">
        <v>43530</v>
      </c>
      <c r="D397" s="50">
        <v>13</v>
      </c>
      <c r="E397" s="49">
        <v>42267.07</v>
      </c>
      <c r="F397" s="50" t="s">
        <v>55</v>
      </c>
      <c r="G397" s="51">
        <v>46155</v>
      </c>
      <c r="H397" s="52" t="s">
        <v>542</v>
      </c>
      <c r="I397" s="50" t="s">
        <v>180</v>
      </c>
      <c r="J397" s="52" t="s">
        <v>180</v>
      </c>
      <c r="K397" s="53" t="s">
        <v>180</v>
      </c>
      <c r="L397" s="53" t="s">
        <v>180</v>
      </c>
      <c r="M397" s="85"/>
      <c r="N397" s="85"/>
      <c r="O397" s="85"/>
      <c r="P397" s="85">
        <f t="shared" si="176"/>
        <v>0</v>
      </c>
      <c r="Q397" s="85">
        <f t="shared" si="177"/>
        <v>0</v>
      </c>
      <c r="R397" s="93" t="s">
        <v>180</v>
      </c>
      <c r="S397" s="93" t="s">
        <v>180</v>
      </c>
      <c r="T397" s="98"/>
      <c r="V397" s="99"/>
      <c r="W397" s="100"/>
      <c r="X397" s="100"/>
      <c r="Y397" s="100"/>
      <c r="Z397" s="100"/>
      <c r="AA397" s="100"/>
      <c r="AB397" s="100"/>
      <c r="AC397" s="100"/>
      <c r="AD397" s="101"/>
      <c r="AE397" s="102"/>
      <c r="AF397" s="103"/>
      <c r="AG397" s="101"/>
      <c r="AH397" s="102"/>
      <c r="AI397" s="104"/>
      <c r="AJ397" s="104"/>
      <c r="AK397" s="104"/>
      <c r="AL397" s="105"/>
      <c r="AP397" s="65"/>
      <c r="AQ397" s="16"/>
      <c r="AR397" s="16"/>
      <c r="AS397" s="66"/>
      <c r="AT397" s="67"/>
      <c r="AU397" s="68"/>
      <c r="AV397" s="19"/>
      <c r="AW397" s="69"/>
      <c r="AX397" s="5"/>
      <c r="AY397" s="65"/>
      <c r="AZ397" s="16"/>
      <c r="BA397" s="16"/>
      <c r="BB397" s="70"/>
      <c r="BC397" s="67"/>
      <c r="BD397" s="71"/>
      <c r="BE397" s="19"/>
      <c r="BF397" s="69"/>
      <c r="BH397" s="106"/>
      <c r="BI397" s="67"/>
      <c r="BJ397" s="19"/>
      <c r="BK397" s="69"/>
      <c r="BM397" s="76"/>
    </row>
    <row r="398" spans="1:72" ht="12.75" customHeight="1" x14ac:dyDescent="0.2">
      <c r="A398" s="97"/>
      <c r="B398" s="48" t="s">
        <v>779</v>
      </c>
      <c r="C398" s="49">
        <v>78210</v>
      </c>
      <c r="D398" s="50">
        <v>13</v>
      </c>
      <c r="E398" s="49">
        <v>74695.8</v>
      </c>
      <c r="F398" s="50" t="s">
        <v>55</v>
      </c>
      <c r="G398" s="51">
        <v>46191</v>
      </c>
      <c r="H398" s="52" t="s">
        <v>542</v>
      </c>
      <c r="I398" s="50" t="s">
        <v>180</v>
      </c>
      <c r="J398" s="52" t="s">
        <v>180</v>
      </c>
      <c r="K398" s="53" t="s">
        <v>180</v>
      </c>
      <c r="L398" s="53" t="s">
        <v>180</v>
      </c>
      <c r="M398" s="85"/>
      <c r="N398" s="85"/>
      <c r="O398" s="85"/>
      <c r="P398" s="85">
        <v>0</v>
      </c>
      <c r="Q398" s="85">
        <v>0</v>
      </c>
      <c r="R398" s="55" t="s">
        <v>180</v>
      </c>
      <c r="S398" s="55" t="s">
        <v>180</v>
      </c>
      <c r="T398" s="98"/>
      <c r="V398" s="107"/>
      <c r="W398" s="108"/>
      <c r="X398" s="108"/>
      <c r="Y398" s="108"/>
      <c r="Z398" s="108"/>
      <c r="AA398" s="108"/>
      <c r="AB398" s="108"/>
      <c r="AC398" s="108"/>
      <c r="AD398" s="109"/>
      <c r="AE398" s="110"/>
      <c r="AF398" s="111"/>
      <c r="AG398" s="109"/>
      <c r="AH398" s="110"/>
      <c r="AI398" s="112"/>
      <c r="AJ398" s="112"/>
      <c r="AK398" s="112"/>
      <c r="AL398" s="113"/>
      <c r="AP398" s="65"/>
      <c r="AQ398" s="16"/>
      <c r="AR398" s="16"/>
      <c r="AS398" s="66"/>
      <c r="AT398" s="67"/>
      <c r="AU398" s="68"/>
      <c r="AV398" s="19"/>
      <c r="AW398" s="69"/>
      <c r="AX398" s="5"/>
      <c r="AY398" s="65"/>
      <c r="AZ398" s="16"/>
      <c r="BA398" s="16"/>
      <c r="BB398" s="70"/>
      <c r="BC398" s="67"/>
      <c r="BD398" s="71"/>
      <c r="BE398" s="19"/>
      <c r="BF398" s="69"/>
      <c r="BH398" s="106"/>
      <c r="BI398" s="67"/>
      <c r="BJ398" s="19"/>
      <c r="BK398" s="69"/>
      <c r="BM398" s="76"/>
    </row>
    <row r="399" spans="1:72" ht="12.75" customHeight="1" x14ac:dyDescent="0.2">
      <c r="A399" s="47"/>
      <c r="B399" s="114"/>
      <c r="C399" s="115"/>
      <c r="D399" s="115"/>
      <c r="E399" s="116"/>
      <c r="F399" s="117"/>
      <c r="G399" s="117"/>
      <c r="H399" s="118"/>
      <c r="I399" s="119"/>
      <c r="J399" s="118"/>
      <c r="K399" s="120"/>
      <c r="L399" s="121"/>
      <c r="M399" s="122"/>
      <c r="N399" s="123"/>
      <c r="O399" s="122"/>
      <c r="P399" s="122"/>
      <c r="Q399" s="122"/>
      <c r="R399" s="227" t="s">
        <v>780</v>
      </c>
      <c r="S399" s="228"/>
      <c r="T399" s="56"/>
      <c r="V399" s="107"/>
      <c r="W399" s="108"/>
      <c r="X399" s="108"/>
      <c r="Y399" s="108"/>
      <c r="Z399" s="108"/>
      <c r="AA399" s="108"/>
      <c r="AB399" s="108"/>
      <c r="AC399" s="108"/>
      <c r="AD399" s="109"/>
      <c r="AE399" s="110"/>
      <c r="AF399" s="111"/>
      <c r="AG399" s="109"/>
      <c r="AH399" s="110"/>
      <c r="AI399" s="112"/>
      <c r="AJ399" s="112"/>
      <c r="AK399" s="112"/>
      <c r="AL399" s="113"/>
      <c r="AP399" s="65"/>
      <c r="AQ399" s="16"/>
      <c r="AR399" s="16"/>
      <c r="AS399" s="16"/>
      <c r="AT399" s="67"/>
      <c r="AU399" s="67"/>
      <c r="AV399" s="67"/>
      <c r="AW399" s="124"/>
      <c r="AY399" s="65"/>
      <c r="AZ399" s="16"/>
      <c r="BA399" s="16"/>
      <c r="BB399" s="16"/>
      <c r="BC399" s="67"/>
      <c r="BD399" s="125"/>
      <c r="BE399" s="67"/>
      <c r="BF399" s="124"/>
      <c r="BG399" s="5"/>
      <c r="BH399" s="126"/>
      <c r="BI399" s="5"/>
      <c r="BJ399" s="5"/>
      <c r="BK399" s="127"/>
      <c r="BL399" s="5"/>
      <c r="BM399" s="76"/>
    </row>
    <row r="400" spans="1:72" ht="12.75" customHeight="1" x14ac:dyDescent="0.2">
      <c r="A400" s="47"/>
      <c r="B400" s="128"/>
      <c r="C400" s="129"/>
      <c r="D400" s="129"/>
      <c r="E400" s="130" t="s">
        <v>781</v>
      </c>
      <c r="F400" s="130" t="s">
        <v>782</v>
      </c>
      <c r="G400" s="130" t="s">
        <v>783</v>
      </c>
      <c r="H400" s="130" t="s">
        <v>784</v>
      </c>
      <c r="I400" s="129"/>
      <c r="J400" s="131" t="s">
        <v>785</v>
      </c>
      <c r="K400" s="131"/>
      <c r="L400" s="130"/>
      <c r="M400" s="130"/>
      <c r="N400" s="130"/>
      <c r="O400" s="130"/>
      <c r="P400" s="130"/>
      <c r="Q400" s="130"/>
      <c r="R400" s="132" t="s">
        <v>786</v>
      </c>
      <c r="S400" s="132" t="s">
        <v>787</v>
      </c>
      <c r="T400" s="133"/>
      <c r="V400" s="107"/>
      <c r="W400" s="108"/>
      <c r="X400" s="108"/>
      <c r="Y400" s="108"/>
      <c r="Z400" s="108"/>
      <c r="AA400" s="108"/>
      <c r="AB400" s="108"/>
      <c r="AC400" s="108"/>
      <c r="AD400" s="109"/>
      <c r="AE400" s="110"/>
      <c r="AF400" s="111"/>
      <c r="AG400" s="109"/>
      <c r="AH400" s="110"/>
      <c r="AI400" s="112"/>
      <c r="AJ400" s="112"/>
      <c r="AK400" s="112"/>
      <c r="AL400" s="113"/>
      <c r="AP400" s="134">
        <f t="shared" ref="AP400:AW400" si="233">SUM(AP7:AP399)</f>
        <v>237</v>
      </c>
      <c r="AQ400" s="134">
        <f t="shared" si="233"/>
        <v>365</v>
      </c>
      <c r="AR400" s="135">
        <f t="shared" si="233"/>
        <v>227</v>
      </c>
      <c r="AS400" s="136">
        <f t="shared" si="233"/>
        <v>1924403.7600000002</v>
      </c>
      <c r="AT400" s="136">
        <f t="shared" si="233"/>
        <v>6846554.950000003</v>
      </c>
      <c r="AU400" s="137">
        <f t="shared" si="233"/>
        <v>2091.5333333333338</v>
      </c>
      <c r="AV400" s="138">
        <f t="shared" si="233"/>
        <v>0.99999999999999933</v>
      </c>
      <c r="AW400" s="139">
        <f t="shared" si="233"/>
        <v>4.8195936822491695E-2</v>
      </c>
      <c r="AX400" s="126"/>
      <c r="AY400" s="134">
        <f>SUM(AY7:AY399)</f>
        <v>150</v>
      </c>
      <c r="AZ400" s="135"/>
      <c r="BA400" s="135">
        <f t="shared" ref="BA400:BF400" si="234">SUM(BA7:BA399)</f>
        <v>138</v>
      </c>
      <c r="BB400" s="140">
        <f t="shared" si="234"/>
        <v>688808.6540000001</v>
      </c>
      <c r="BC400" s="140">
        <f t="shared" si="234"/>
        <v>4401797.01</v>
      </c>
      <c r="BD400" s="137">
        <f t="shared" si="234"/>
        <v>985.29999999999973</v>
      </c>
      <c r="BE400" s="141">
        <f t="shared" si="234"/>
        <v>1.0000000000000007</v>
      </c>
      <c r="BF400" s="139">
        <f t="shared" si="234"/>
        <v>4.2329701159936041E-2</v>
      </c>
      <c r="BH400" s="142">
        <f>SUM(BH7:BH399)</f>
        <v>11248351.960000003</v>
      </c>
      <c r="BI400" s="143"/>
      <c r="BJ400" s="144">
        <f t="shared" ref="BJ400:BK400" si="235">SUM(BJ7:BJ399)</f>
        <v>1.0000000000000009</v>
      </c>
      <c r="BK400" s="145">
        <f t="shared" si="235"/>
        <v>4.5900313544413471E-2</v>
      </c>
      <c r="BM400" s="146">
        <f>SUM(BM7:BM399)</f>
        <v>387</v>
      </c>
    </row>
    <row r="401" spans="1:65" ht="12.75" customHeight="1" x14ac:dyDescent="0.2">
      <c r="A401" s="147"/>
      <c r="B401" s="148" t="s">
        <v>788</v>
      </c>
      <c r="C401" s="149"/>
      <c r="D401" s="149"/>
      <c r="E401" s="150">
        <f>SUM(E7:E396)</f>
        <v>12352817.630000005</v>
      </c>
      <c r="F401" s="151">
        <f>BM400</f>
        <v>387</v>
      </c>
      <c r="G401" s="152">
        <f t="shared" ref="G401:H401" si="236">SUM(G403:G404)</f>
        <v>1</v>
      </c>
      <c r="H401" s="152">
        <f t="shared" si="236"/>
        <v>1</v>
      </c>
      <c r="I401" s="150"/>
      <c r="J401" s="153">
        <f>SUM(J7:J396)/(AR400+BA400)</f>
        <v>8.5030136986301308</v>
      </c>
      <c r="K401" s="154"/>
      <c r="L401" s="150">
        <f t="shared" ref="L401:Q401" si="237">SUM(L7:L396)</f>
        <v>16007758.950000003</v>
      </c>
      <c r="M401" s="150">
        <f t="shared" si="237"/>
        <v>439252.92219041084</v>
      </c>
      <c r="N401" s="150">
        <f t="shared" si="237"/>
        <v>1938221.2039999997</v>
      </c>
      <c r="O401" s="150">
        <f t="shared" si="237"/>
        <v>688231.88000000024</v>
      </c>
      <c r="P401" s="150">
        <f t="shared" si="237"/>
        <v>56172.73</v>
      </c>
      <c r="Q401" s="150">
        <f t="shared" si="237"/>
        <v>516302.88182191789</v>
      </c>
      <c r="R401" s="155">
        <f>BK400</f>
        <v>4.5900313544413471E-2</v>
      </c>
      <c r="S401" s="156">
        <f>1-R401</f>
        <v>0.95409968645558652</v>
      </c>
      <c r="T401" s="147"/>
      <c r="V401" s="107"/>
      <c r="W401" s="108"/>
      <c r="X401" s="108"/>
      <c r="Y401" s="108"/>
      <c r="Z401" s="108"/>
      <c r="AA401" s="108"/>
      <c r="AB401" s="108"/>
      <c r="AC401" s="108"/>
      <c r="AD401" s="109"/>
      <c r="AE401" s="110"/>
      <c r="AF401" s="111"/>
      <c r="AG401" s="109"/>
      <c r="AH401" s="110"/>
      <c r="AI401" s="112"/>
      <c r="AJ401" s="112"/>
      <c r="AK401" s="112"/>
      <c r="AL401" s="113"/>
      <c r="AP401" s="157" t="s">
        <v>789</v>
      </c>
      <c r="AQ401" s="158"/>
      <c r="AR401" s="158" t="s">
        <v>790</v>
      </c>
      <c r="AS401" s="158"/>
      <c r="AT401" s="73"/>
      <c r="AU401" s="73"/>
      <c r="AV401" s="73"/>
      <c r="AW401" s="159"/>
      <c r="AY401" s="65"/>
      <c r="AZ401" s="16"/>
      <c r="BA401" s="16"/>
      <c r="BB401" s="16"/>
      <c r="BC401" s="67"/>
      <c r="BD401" s="125"/>
      <c r="BE401" s="67"/>
      <c r="BF401" s="124"/>
      <c r="BH401" s="126"/>
      <c r="BI401" s="5"/>
      <c r="BJ401" s="5"/>
      <c r="BK401" s="127"/>
      <c r="BM401" s="76"/>
    </row>
    <row r="402" spans="1:65" ht="12.75" customHeight="1" x14ac:dyDescent="0.2">
      <c r="A402" s="47"/>
      <c r="B402" s="128"/>
      <c r="C402" s="129"/>
      <c r="D402" s="129"/>
      <c r="E402" s="129"/>
      <c r="F402" s="160"/>
      <c r="G402" s="160"/>
      <c r="H402" s="160"/>
      <c r="I402" s="129"/>
      <c r="J402" s="131"/>
      <c r="K402" s="131"/>
      <c r="L402" s="129"/>
      <c r="M402" s="129"/>
      <c r="N402" s="129"/>
      <c r="O402" s="129"/>
      <c r="P402" s="129"/>
      <c r="Q402" s="129"/>
      <c r="R402" s="129"/>
      <c r="S402" s="129"/>
      <c r="T402" s="161"/>
      <c r="V402" s="107"/>
      <c r="W402" s="108"/>
      <c r="X402" s="108"/>
      <c r="Y402" s="108"/>
      <c r="Z402" s="108"/>
      <c r="AA402" s="108"/>
      <c r="AB402" s="108"/>
      <c r="AC402" s="108"/>
      <c r="AD402" s="109"/>
      <c r="AE402" s="110"/>
      <c r="AF402" s="111"/>
      <c r="AG402" s="109"/>
      <c r="AH402" s="110"/>
      <c r="AI402" s="112"/>
      <c r="AJ402" s="112"/>
      <c r="AK402" s="112"/>
      <c r="AL402" s="113"/>
      <c r="AP402" s="65"/>
      <c r="AQ402" s="16"/>
      <c r="AR402" s="16"/>
      <c r="AS402" s="16"/>
      <c r="AT402" s="67"/>
      <c r="AU402" s="67"/>
      <c r="AV402" s="67"/>
      <c r="AW402" s="124"/>
      <c r="AY402" s="65"/>
      <c r="AZ402" s="16"/>
      <c r="BA402" s="16"/>
      <c r="BB402" s="16"/>
      <c r="BC402" s="67"/>
      <c r="BD402" s="125"/>
      <c r="BE402" s="67"/>
      <c r="BF402" s="124"/>
      <c r="BH402" s="126"/>
      <c r="BI402" s="5"/>
      <c r="BJ402" s="5"/>
      <c r="BK402" s="127"/>
      <c r="BM402" s="76"/>
    </row>
    <row r="403" spans="1:65" ht="12.75" customHeight="1" x14ac:dyDescent="0.2">
      <c r="A403" s="47"/>
      <c r="B403" s="162" t="s">
        <v>55</v>
      </c>
      <c r="C403" s="163"/>
      <c r="D403" s="163"/>
      <c r="E403" s="164">
        <f>SUMIF(F7:F396,"Legal Foreclosure",E7:E396)</f>
        <v>7451382.2300000023</v>
      </c>
      <c r="F403" s="165">
        <f>AP400</f>
        <v>237</v>
      </c>
      <c r="G403" s="166">
        <f t="shared" ref="G403:G404" si="238">E403/$E$401</f>
        <v>0.60321316586942919</v>
      </c>
      <c r="H403" s="166">
        <f t="shared" ref="H403:H404" si="239">F403/$F$401</f>
        <v>0.61240310077519378</v>
      </c>
      <c r="I403" s="164"/>
      <c r="J403" s="167">
        <f>AU400/AR400</f>
        <v>9.21380323054332</v>
      </c>
      <c r="K403" s="168"/>
      <c r="L403" s="164">
        <f>SUMIF($F$7:$F$128,"Legal Foreclosure",L7:L128)</f>
        <v>1571317.9</v>
      </c>
      <c r="M403" s="164">
        <f t="shared" ref="M403:Q403" si="240">SUMIF($F$7:$F$396,"Legal Foreclosure",M7:M396)</f>
        <v>314951.9674315069</v>
      </c>
      <c r="N403" s="164">
        <f t="shared" si="240"/>
        <v>1444803.7699999996</v>
      </c>
      <c r="O403" s="164">
        <f t="shared" si="240"/>
        <v>486362.18999999983</v>
      </c>
      <c r="P403" s="164">
        <f t="shared" si="240"/>
        <v>10240.490000000002</v>
      </c>
      <c r="Q403" s="164">
        <f t="shared" si="240"/>
        <v>329976.12982191786</v>
      </c>
      <c r="R403" s="169">
        <f>AW400</f>
        <v>4.8195936822491695E-2</v>
      </c>
      <c r="S403" s="170">
        <f t="shared" ref="S403:S404" si="241">1-R403</f>
        <v>0.95180406317750832</v>
      </c>
      <c r="T403" s="147"/>
      <c r="V403" s="107"/>
      <c r="W403" s="108"/>
      <c r="X403" s="108"/>
      <c r="Y403" s="108"/>
      <c r="Z403" s="108"/>
      <c r="AA403" s="108"/>
      <c r="AB403" s="108"/>
      <c r="AC403" s="108"/>
      <c r="AD403" s="109"/>
      <c r="AE403" s="110"/>
      <c r="AF403" s="111"/>
      <c r="AG403" s="109"/>
      <c r="AH403" s="110"/>
      <c r="AI403" s="112"/>
      <c r="AJ403" s="112"/>
      <c r="AK403" s="112"/>
      <c r="AL403" s="113"/>
      <c r="AP403" s="65"/>
      <c r="AQ403" s="16"/>
      <c r="AR403" s="16"/>
      <c r="AS403" s="16"/>
      <c r="AT403" s="67"/>
      <c r="AU403" s="67"/>
      <c r="AV403" s="67"/>
      <c r="AW403" s="124"/>
      <c r="AY403" s="65"/>
      <c r="AZ403" s="16"/>
      <c r="BA403" s="16"/>
      <c r="BB403" s="16"/>
      <c r="BC403" s="67"/>
      <c r="BD403" s="125"/>
      <c r="BE403" s="67"/>
      <c r="BF403" s="124"/>
      <c r="BH403" s="126"/>
      <c r="BI403" s="5"/>
      <c r="BJ403" s="5"/>
      <c r="BK403" s="127"/>
      <c r="BM403" s="76"/>
    </row>
    <row r="404" spans="1:65" ht="12.75" customHeight="1" x14ac:dyDescent="0.2">
      <c r="A404" s="47"/>
      <c r="B404" s="171" t="s">
        <v>63</v>
      </c>
      <c r="C404" s="172"/>
      <c r="D404" s="172"/>
      <c r="E404" s="173">
        <f>SUMIF(F7:F396,"Deed in Lieu",E7:E396)</f>
        <v>4901435.4000000022</v>
      </c>
      <c r="F404" s="174">
        <f>AY400</f>
        <v>150</v>
      </c>
      <c r="G404" s="175">
        <f t="shared" si="238"/>
        <v>0.39678683413057075</v>
      </c>
      <c r="H404" s="175">
        <f t="shared" si="239"/>
        <v>0.38759689922480622</v>
      </c>
      <c r="I404" s="173"/>
      <c r="J404" s="176">
        <f>BD400/BA400</f>
        <v>7.1398550724637664</v>
      </c>
      <c r="K404" s="177"/>
      <c r="L404" s="173">
        <f t="shared" ref="L404:Q404" si="242">SUMIF($F$7:$F$396,"Deed in Lieu",L7:L396)</f>
        <v>5520361.96</v>
      </c>
      <c r="M404" s="173">
        <f t="shared" si="242"/>
        <v>124300.95475890409</v>
      </c>
      <c r="N404" s="173">
        <f t="shared" si="242"/>
        <v>493417.43399999978</v>
      </c>
      <c r="O404" s="173">
        <f t="shared" si="242"/>
        <v>201869.68999999994</v>
      </c>
      <c r="P404" s="173">
        <f t="shared" si="242"/>
        <v>45932.240000000005</v>
      </c>
      <c r="Q404" s="173">
        <f t="shared" si="242"/>
        <v>186326.75199999995</v>
      </c>
      <c r="R404" s="178">
        <f>BF400</f>
        <v>4.2329701159936041E-2</v>
      </c>
      <c r="S404" s="179">
        <f t="shared" si="241"/>
        <v>0.95767029884006394</v>
      </c>
      <c r="T404" s="147"/>
      <c r="V404" s="180"/>
      <c r="W404" s="181"/>
      <c r="X404" s="181"/>
      <c r="Y404" s="181"/>
      <c r="Z404" s="181"/>
      <c r="AA404" s="181"/>
      <c r="AB404" s="181"/>
      <c r="AC404" s="181" t="s">
        <v>791</v>
      </c>
      <c r="AD404" s="182"/>
      <c r="AE404" s="183"/>
      <c r="AF404" s="184"/>
      <c r="AG404" s="182"/>
      <c r="AH404" s="183"/>
      <c r="AI404" s="185"/>
      <c r="AJ404" s="185"/>
      <c r="AK404" s="185"/>
      <c r="AL404" s="186"/>
      <c r="AP404" s="47"/>
      <c r="AQ404" s="187"/>
      <c r="AR404" s="188"/>
      <c r="AS404" s="160" t="s">
        <v>792</v>
      </c>
      <c r="AT404" s="189"/>
      <c r="AU404" s="189"/>
      <c r="AV404" s="190">
        <f>AT400/(AT400+BC400)</f>
        <v>0.60867182804617725</v>
      </c>
      <c r="AW404" s="191"/>
      <c r="AY404" s="47"/>
      <c r="AZ404" s="129"/>
      <c r="BA404" s="160"/>
      <c r="BB404" s="160" t="s">
        <v>793</v>
      </c>
      <c r="BC404" s="189"/>
      <c r="BD404" s="189"/>
      <c r="BE404" s="190">
        <f>BC400/(BC400+AT400)</f>
        <v>0.39132817195382269</v>
      </c>
      <c r="BF404" s="191"/>
      <c r="BH404" s="192"/>
      <c r="BI404" s="189"/>
      <c r="BJ404" s="189"/>
      <c r="BK404" s="191"/>
      <c r="BM404" s="193"/>
    </row>
    <row r="405" spans="1:65" ht="12.75" customHeight="1" x14ac:dyDescent="0.2">
      <c r="A405" s="147"/>
      <c r="B405" s="194"/>
      <c r="C405" s="195"/>
      <c r="D405" s="195"/>
      <c r="E405" s="195"/>
      <c r="F405" s="195"/>
      <c r="G405" s="195"/>
      <c r="H405" s="195"/>
      <c r="I405" s="195"/>
      <c r="J405" s="131"/>
      <c r="K405" s="131"/>
      <c r="L405" s="195"/>
      <c r="M405" s="178">
        <f>M401/(AT400+BC400)</f>
        <v>3.9050424786886799E-2</v>
      </c>
      <c r="N405" s="178">
        <f>N401/(AT400+BC400)</f>
        <v>0.17231157158777233</v>
      </c>
      <c r="O405" s="178">
        <f>O401/(AT400+BC400)</f>
        <v>6.1185130270408082E-2</v>
      </c>
      <c r="P405" s="178">
        <f>P401/(AT400+BC400)</f>
        <v>4.9938631187710445E-3</v>
      </c>
      <c r="Q405" s="178">
        <f>Q401/(AT400+BC400)</f>
        <v>4.5900313544413464E-2</v>
      </c>
      <c r="R405" s="195"/>
      <c r="S405" s="195"/>
      <c r="T405" s="196"/>
      <c r="V405" s="197"/>
      <c r="W405" s="198"/>
      <c r="X405" s="198"/>
      <c r="Y405" s="198"/>
      <c r="Z405" s="198"/>
      <c r="AA405" s="198"/>
      <c r="AB405" s="198"/>
      <c r="AC405" s="198"/>
      <c r="AD405" s="199"/>
      <c r="AE405" s="200"/>
      <c r="AF405" s="201"/>
      <c r="AG405" s="199"/>
      <c r="AH405" s="200"/>
      <c r="AI405" s="202"/>
      <c r="AJ405" s="202"/>
      <c r="AK405" s="202"/>
      <c r="AL405" s="203"/>
      <c r="AP405" s="204"/>
      <c r="AQ405" s="205"/>
      <c r="AR405" s="206"/>
      <c r="AS405" s="174" t="s">
        <v>794</v>
      </c>
      <c r="AT405" s="207"/>
      <c r="AU405" s="207"/>
      <c r="AV405" s="178">
        <f>AS400/AT400</f>
        <v>0.28107621629473656</v>
      </c>
      <c r="AW405" s="208"/>
      <c r="AY405" s="204"/>
      <c r="AZ405" s="174"/>
      <c r="BA405" s="174"/>
      <c r="BB405" s="174" t="s">
        <v>794</v>
      </c>
      <c r="BC405" s="207"/>
      <c r="BD405" s="209"/>
      <c r="BE405" s="178">
        <f>BB400/BC400</f>
        <v>0.15648351171922853</v>
      </c>
      <c r="BF405" s="208"/>
      <c r="BH405" s="210"/>
      <c r="BI405" s="207"/>
      <c r="BJ405" s="207"/>
      <c r="BK405" s="208"/>
      <c r="BM405" s="211"/>
    </row>
    <row r="406" spans="1:65" ht="12.75" customHeight="1" x14ac:dyDescent="0.2">
      <c r="A406" s="16"/>
      <c r="B406" s="212"/>
      <c r="S406" s="213"/>
      <c r="T406" s="213"/>
      <c r="AD406" s="19"/>
      <c r="AE406" s="20"/>
      <c r="AF406" s="21"/>
      <c r="AG406" s="19"/>
      <c r="AH406" s="20"/>
      <c r="AI406" s="22"/>
      <c r="AK406" s="23"/>
      <c r="AL406" s="24"/>
    </row>
    <row r="407" spans="1:65" ht="12.75" customHeight="1" x14ac:dyDescent="0.2">
      <c r="A407" s="16"/>
      <c r="B407" s="212" t="s">
        <v>795</v>
      </c>
      <c r="S407" s="213"/>
      <c r="AD407" s="19"/>
      <c r="AE407" s="20"/>
      <c r="AF407" s="21"/>
      <c r="AG407" s="19"/>
      <c r="AH407" s="20"/>
      <c r="AI407" s="22"/>
      <c r="AK407" s="23"/>
      <c r="AL407" s="24"/>
      <c r="AP407" s="16"/>
      <c r="AQ407" s="16"/>
      <c r="AR407" s="16"/>
      <c r="AS407" s="16"/>
      <c r="AT407" s="67"/>
      <c r="AU407" s="67"/>
      <c r="AV407" s="67"/>
      <c r="AW407" s="67"/>
      <c r="AY407" s="16"/>
      <c r="AZ407" s="16"/>
      <c r="BA407" s="16"/>
      <c r="BB407" s="16"/>
      <c r="BC407" s="67"/>
      <c r="BD407" s="125"/>
      <c r="BE407" s="67"/>
      <c r="BF407" s="67"/>
      <c r="BM407" s="16"/>
    </row>
    <row r="408" spans="1:65" ht="12.75" customHeight="1" x14ac:dyDescent="0.2">
      <c r="A408" s="16"/>
      <c r="B408" s="212" t="s">
        <v>796</v>
      </c>
      <c r="I408" s="214"/>
      <c r="J408" s="214"/>
      <c r="K408" s="214"/>
      <c r="L408" s="214"/>
      <c r="M408" s="214"/>
      <c r="N408" s="214"/>
      <c r="S408" s="213"/>
      <c r="AD408" s="19"/>
      <c r="AE408" s="20"/>
      <c r="AF408" s="21"/>
      <c r="AG408" s="19"/>
      <c r="AH408" s="20"/>
      <c r="AI408" s="22"/>
      <c r="AK408" s="23"/>
      <c r="AL408" s="24"/>
      <c r="AP408" s="16"/>
      <c r="AQ408" s="16"/>
      <c r="AR408" s="16"/>
      <c r="AS408" s="16"/>
      <c r="AT408" s="67"/>
      <c r="AU408" s="67"/>
      <c r="AV408" s="67"/>
      <c r="AW408" s="67"/>
      <c r="AY408" s="16"/>
      <c r="AZ408" s="16"/>
      <c r="BA408" s="16"/>
      <c r="BB408" s="16"/>
      <c r="BC408" s="67"/>
      <c r="BD408" s="125"/>
      <c r="BE408" s="67"/>
      <c r="BF408" s="67"/>
      <c r="BM408" s="16"/>
    </row>
    <row r="409" spans="1:65" ht="12.75" customHeight="1" x14ac:dyDescent="0.2">
      <c r="A409" s="16"/>
      <c r="B409" s="212"/>
      <c r="S409" s="213"/>
      <c r="AD409" s="19"/>
      <c r="AE409" s="20"/>
      <c r="AF409" s="21"/>
      <c r="AG409" s="19"/>
      <c r="AH409" s="20"/>
      <c r="AI409" s="22"/>
      <c r="AK409" s="23"/>
      <c r="AL409" s="24"/>
      <c r="AP409" s="16"/>
      <c r="AQ409" s="16"/>
      <c r="AR409" s="16"/>
      <c r="AS409" s="16"/>
      <c r="AT409" s="67"/>
      <c r="AU409" s="67"/>
      <c r="AV409" s="67"/>
      <c r="AW409" s="67"/>
      <c r="AY409" s="16"/>
      <c r="AZ409" s="16"/>
      <c r="BA409" s="16"/>
      <c r="BB409" s="16"/>
      <c r="BC409" s="67"/>
      <c r="BD409" s="125"/>
      <c r="BE409" s="67"/>
      <c r="BF409" s="67"/>
      <c r="BM409" s="16"/>
    </row>
    <row r="410" spans="1:65" ht="12.75" customHeight="1" x14ac:dyDescent="0.2">
      <c r="A410" s="16"/>
      <c r="B410" s="212"/>
      <c r="S410" s="213"/>
      <c r="AD410" s="19"/>
      <c r="AE410" s="20"/>
      <c r="AF410" s="21"/>
      <c r="AG410" s="19"/>
      <c r="AH410" s="20"/>
      <c r="AI410" s="22"/>
      <c r="AK410" s="23"/>
      <c r="AL410" s="24"/>
      <c r="AP410" s="16"/>
      <c r="AQ410" s="16"/>
      <c r="AR410" s="16"/>
      <c r="AS410" s="16"/>
      <c r="AT410" s="67"/>
      <c r="AU410" s="67"/>
      <c r="AV410" s="67"/>
      <c r="AW410" s="67"/>
      <c r="AY410" s="16"/>
      <c r="AZ410" s="16"/>
      <c r="BA410" s="16"/>
      <c r="BB410" s="16"/>
      <c r="BC410" s="67"/>
      <c r="BD410" s="125"/>
      <c r="BE410" s="67"/>
      <c r="BF410" s="67"/>
      <c r="BM410" s="16"/>
    </row>
    <row r="411" spans="1:65" ht="12.75" customHeight="1" x14ac:dyDescent="0.2">
      <c r="A411" s="16"/>
      <c r="B411" s="212"/>
      <c r="S411" s="213"/>
      <c r="AD411" s="19"/>
      <c r="AE411" s="20"/>
      <c r="AF411" s="21"/>
      <c r="AG411" s="19"/>
      <c r="AH411" s="20"/>
      <c r="AI411" s="22"/>
      <c r="AK411" s="23"/>
      <c r="AL411" s="24"/>
      <c r="AP411" s="16"/>
      <c r="AQ411" s="16"/>
      <c r="AR411" s="16"/>
      <c r="AS411" s="16"/>
      <c r="AT411" s="67"/>
      <c r="AU411" s="67"/>
      <c r="AV411" s="67"/>
      <c r="AW411" s="67"/>
      <c r="AY411" s="16"/>
      <c r="AZ411" s="16"/>
      <c r="BA411" s="16"/>
      <c r="BB411" s="16"/>
      <c r="BC411" s="67"/>
      <c r="BD411" s="125"/>
      <c r="BE411" s="67"/>
      <c r="BF411" s="67"/>
      <c r="BM411" s="16"/>
    </row>
    <row r="412" spans="1:65" ht="12.75" customHeight="1" x14ac:dyDescent="0.2">
      <c r="A412" s="16"/>
      <c r="B412" s="212"/>
      <c r="AD412" s="19"/>
      <c r="AE412" s="20"/>
      <c r="AF412" s="21"/>
      <c r="AG412" s="19"/>
      <c r="AH412" s="20"/>
      <c r="AI412" s="22"/>
      <c r="AK412" s="23"/>
      <c r="AL412" s="24"/>
      <c r="AP412" s="16"/>
      <c r="AQ412" s="16"/>
      <c r="AR412" s="16"/>
      <c r="AS412" s="16"/>
      <c r="AT412" s="67"/>
      <c r="AU412" s="67"/>
      <c r="AV412" s="67"/>
      <c r="AW412" s="67"/>
      <c r="AY412" s="16"/>
      <c r="AZ412" s="16"/>
      <c r="BA412" s="16"/>
      <c r="BB412" s="16"/>
      <c r="BC412" s="67"/>
      <c r="BD412" s="125"/>
      <c r="BE412" s="67"/>
      <c r="BF412" s="67"/>
      <c r="BM412" s="16"/>
    </row>
    <row r="413" spans="1:65" ht="12.75" customHeight="1" x14ac:dyDescent="0.2">
      <c r="A413" s="16"/>
      <c r="B413" s="212"/>
      <c r="AD413" s="19"/>
      <c r="AE413" s="20"/>
      <c r="AF413" s="21"/>
      <c r="AG413" s="19"/>
      <c r="AH413" s="20"/>
      <c r="AI413" s="22"/>
      <c r="AK413" s="23"/>
      <c r="AL413" s="24"/>
      <c r="AP413" s="16"/>
      <c r="AQ413" s="16"/>
      <c r="AR413" s="16"/>
      <c r="AS413" s="16"/>
      <c r="AT413" s="67"/>
      <c r="AU413" s="67"/>
      <c r="AV413" s="67"/>
      <c r="AW413" s="67"/>
      <c r="AY413" s="16"/>
      <c r="AZ413" s="16"/>
      <c r="BA413" s="16"/>
      <c r="BB413" s="16"/>
      <c r="BC413" s="67"/>
      <c r="BD413" s="125"/>
      <c r="BE413" s="67"/>
      <c r="BF413" s="67"/>
      <c r="BM413" s="16"/>
    </row>
    <row r="414" spans="1:65" ht="12.75" customHeight="1" x14ac:dyDescent="0.2">
      <c r="A414" s="16"/>
      <c r="B414" s="212"/>
      <c r="AD414" s="19"/>
      <c r="AE414" s="20"/>
      <c r="AF414" s="21"/>
      <c r="AG414" s="19"/>
      <c r="AH414" s="20"/>
      <c r="AI414" s="22"/>
      <c r="AK414" s="23"/>
      <c r="AL414" s="24"/>
      <c r="AP414" s="16"/>
      <c r="AQ414" s="16"/>
      <c r="AR414" s="16"/>
      <c r="AS414" s="16"/>
      <c r="AT414" s="67"/>
      <c r="AU414" s="67"/>
      <c r="AV414" s="67"/>
      <c r="AW414" s="67"/>
      <c r="AY414" s="16"/>
      <c r="AZ414" s="16"/>
      <c r="BA414" s="16"/>
      <c r="BB414" s="16"/>
      <c r="BC414" s="67"/>
      <c r="BD414" s="125"/>
      <c r="BE414" s="67"/>
      <c r="BF414" s="67"/>
      <c r="BM414" s="16"/>
    </row>
    <row r="415" spans="1:65" ht="12.75" customHeight="1" x14ac:dyDescent="0.2">
      <c r="A415" s="16"/>
      <c r="B415" s="212"/>
      <c r="AD415" s="19"/>
      <c r="AE415" s="20"/>
      <c r="AF415" s="21"/>
      <c r="AG415" s="19"/>
      <c r="AH415" s="20"/>
      <c r="AI415" s="22"/>
      <c r="AK415" s="23"/>
      <c r="AL415" s="24"/>
      <c r="AP415" s="16"/>
      <c r="AQ415" s="16"/>
      <c r="AR415" s="16"/>
      <c r="AS415" s="16"/>
      <c r="AT415" s="67"/>
      <c r="AU415" s="67"/>
      <c r="AV415" s="67"/>
      <c r="AW415" s="67"/>
      <c r="AY415" s="16"/>
      <c r="AZ415" s="16"/>
      <c r="BA415" s="16"/>
      <c r="BB415" s="16"/>
      <c r="BC415" s="67"/>
      <c r="BD415" s="125"/>
      <c r="BE415" s="67"/>
      <c r="BF415" s="67"/>
      <c r="BM415" s="16"/>
    </row>
    <row r="416" spans="1:65" ht="12.75" customHeight="1" x14ac:dyDescent="0.2">
      <c r="A416" s="16"/>
      <c r="B416" s="212"/>
      <c r="AD416" s="19"/>
      <c r="AE416" s="20"/>
      <c r="AF416" s="21"/>
      <c r="AG416" s="19"/>
      <c r="AH416" s="20"/>
      <c r="AI416" s="22"/>
      <c r="AK416" s="23"/>
      <c r="AL416" s="24"/>
      <c r="AP416" s="16"/>
      <c r="AQ416" s="16"/>
      <c r="AR416" s="16"/>
      <c r="AS416" s="16"/>
      <c r="AT416" s="67"/>
      <c r="AU416" s="67"/>
      <c r="AV416" s="67"/>
      <c r="AW416" s="67"/>
      <c r="AY416" s="16"/>
      <c r="AZ416" s="16"/>
      <c r="BA416" s="16"/>
      <c r="BB416" s="16"/>
      <c r="BC416" s="67"/>
      <c r="BD416" s="125"/>
      <c r="BE416" s="67"/>
      <c r="BF416" s="67"/>
      <c r="BM416" s="16"/>
    </row>
    <row r="417" spans="1:65" ht="12.75" customHeight="1" x14ac:dyDescent="0.2">
      <c r="A417" s="16"/>
      <c r="B417" s="212"/>
      <c r="AD417" s="19"/>
      <c r="AE417" s="20"/>
      <c r="AF417" s="21"/>
      <c r="AG417" s="19"/>
      <c r="AH417" s="20"/>
      <c r="AI417" s="22"/>
      <c r="AK417" s="23"/>
      <c r="AL417" s="24"/>
      <c r="AP417" s="16"/>
      <c r="AQ417" s="16"/>
      <c r="AR417" s="16"/>
      <c r="AS417" s="16"/>
      <c r="AT417" s="67"/>
      <c r="AU417" s="67"/>
      <c r="AV417" s="67"/>
      <c r="AW417" s="67"/>
      <c r="AY417" s="16"/>
      <c r="AZ417" s="16"/>
      <c r="BA417" s="16"/>
      <c r="BB417" s="16"/>
      <c r="BC417" s="67"/>
      <c r="BD417" s="125"/>
      <c r="BE417" s="67"/>
      <c r="BF417" s="67"/>
      <c r="BM417" s="16"/>
    </row>
    <row r="418" spans="1:65" ht="12.75" customHeight="1" x14ac:dyDescent="0.2">
      <c r="A418" s="16"/>
      <c r="B418" s="212"/>
      <c r="AD418" s="19"/>
      <c r="AE418" s="20"/>
      <c r="AF418" s="21"/>
      <c r="AG418" s="19"/>
      <c r="AH418" s="20"/>
      <c r="AI418" s="22"/>
      <c r="AK418" s="23"/>
      <c r="AL418" s="24"/>
      <c r="AP418" s="16"/>
      <c r="AQ418" s="16"/>
      <c r="AR418" s="16"/>
      <c r="AS418" s="16"/>
      <c r="AT418" s="67"/>
      <c r="AU418" s="67"/>
      <c r="AV418" s="67"/>
      <c r="AW418" s="67"/>
      <c r="AY418" s="16"/>
      <c r="AZ418" s="16"/>
      <c r="BA418" s="16"/>
      <c r="BB418" s="16"/>
      <c r="BC418" s="67"/>
      <c r="BD418" s="125"/>
      <c r="BE418" s="67"/>
      <c r="BF418" s="67"/>
      <c r="BM418" s="16"/>
    </row>
    <row r="419" spans="1:65" ht="12.75" customHeight="1" x14ac:dyDescent="0.2">
      <c r="A419" s="16"/>
      <c r="B419" s="212"/>
      <c r="AD419" s="19"/>
      <c r="AE419" s="20"/>
      <c r="AF419" s="21"/>
      <c r="AG419" s="19"/>
      <c r="AH419" s="20"/>
      <c r="AI419" s="22"/>
      <c r="AK419" s="23"/>
      <c r="AL419" s="24"/>
      <c r="AP419" s="16"/>
      <c r="AQ419" s="16"/>
      <c r="AR419" s="16"/>
      <c r="AS419" s="16"/>
      <c r="AT419" s="67"/>
      <c r="AU419" s="67"/>
      <c r="AV419" s="67"/>
      <c r="AW419" s="67"/>
      <c r="AY419" s="16"/>
      <c r="AZ419" s="16"/>
      <c r="BA419" s="16"/>
      <c r="BB419" s="16"/>
      <c r="BC419" s="67"/>
      <c r="BD419" s="125"/>
      <c r="BE419" s="67"/>
      <c r="BF419" s="67"/>
      <c r="BM419" s="16"/>
    </row>
    <row r="420" spans="1:65" ht="12.75" customHeight="1" x14ac:dyDescent="0.2">
      <c r="A420" s="16"/>
      <c r="B420" s="215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AD420" s="19"/>
      <c r="AE420" s="20"/>
      <c r="AF420" s="21"/>
      <c r="AG420" s="19"/>
      <c r="AH420" s="20"/>
      <c r="AI420" s="22"/>
      <c r="AK420" s="23"/>
      <c r="AL420" s="24"/>
      <c r="AP420" s="16"/>
      <c r="AQ420" s="16"/>
      <c r="AR420" s="16"/>
      <c r="AS420" s="16"/>
      <c r="AT420" s="67"/>
      <c r="AU420" s="67"/>
      <c r="AV420" s="67"/>
      <c r="AW420" s="67"/>
      <c r="AY420" s="16"/>
      <c r="AZ420" s="16"/>
      <c r="BA420" s="16"/>
      <c r="BB420" s="16"/>
      <c r="BC420" s="67"/>
      <c r="BD420" s="125"/>
      <c r="BE420" s="67"/>
      <c r="BF420" s="67"/>
      <c r="BM420" s="16"/>
    </row>
    <row r="421" spans="1:65" ht="12.75" customHeight="1" x14ac:dyDescent="0.2">
      <c r="A421" s="16"/>
      <c r="B421" s="215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AD421" s="19"/>
      <c r="AE421" s="20"/>
      <c r="AF421" s="21"/>
      <c r="AG421" s="19"/>
      <c r="AH421" s="20"/>
      <c r="AI421" s="22"/>
      <c r="AK421" s="23"/>
      <c r="AL421" s="24"/>
      <c r="AP421" s="16"/>
      <c r="AQ421" s="16"/>
      <c r="AR421" s="16"/>
      <c r="AS421" s="16"/>
      <c r="AT421" s="67"/>
      <c r="AU421" s="67"/>
      <c r="AV421" s="67"/>
      <c r="AW421" s="67"/>
      <c r="AY421" s="16"/>
      <c r="AZ421" s="16"/>
      <c r="BA421" s="16"/>
      <c r="BB421" s="16"/>
      <c r="BC421" s="67"/>
      <c r="BD421" s="125"/>
      <c r="BE421" s="67"/>
      <c r="BF421" s="67"/>
      <c r="BM421" s="16"/>
    </row>
    <row r="422" spans="1:65" ht="12.75" customHeight="1" x14ac:dyDescent="0.2">
      <c r="A422" s="16"/>
      <c r="B422" s="215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AD422" s="19"/>
      <c r="AE422" s="20"/>
      <c r="AF422" s="21"/>
      <c r="AG422" s="19"/>
      <c r="AH422" s="20"/>
      <c r="AI422" s="22"/>
      <c r="AK422" s="23"/>
      <c r="AL422" s="24"/>
      <c r="AP422" s="16"/>
      <c r="AQ422" s="16"/>
      <c r="AR422" s="16"/>
      <c r="AS422" s="16"/>
      <c r="AT422" s="67"/>
      <c r="AU422" s="67"/>
      <c r="AV422" s="67"/>
      <c r="AW422" s="67"/>
      <c r="AY422" s="16"/>
      <c r="AZ422" s="16"/>
      <c r="BA422" s="16"/>
      <c r="BB422" s="16"/>
      <c r="BC422" s="67"/>
      <c r="BD422" s="125"/>
      <c r="BE422" s="67"/>
      <c r="BF422" s="67"/>
      <c r="BM422" s="16"/>
    </row>
    <row r="423" spans="1:65" ht="12.75" customHeight="1" x14ac:dyDescent="0.2">
      <c r="A423" s="16"/>
      <c r="B423" s="215"/>
      <c r="C423" s="216"/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AD423" s="19"/>
      <c r="AE423" s="20"/>
      <c r="AF423" s="21"/>
      <c r="AG423" s="19"/>
      <c r="AH423" s="20"/>
      <c r="AI423" s="22"/>
      <c r="AK423" s="23"/>
      <c r="AL423" s="24"/>
      <c r="AP423" s="16"/>
      <c r="AQ423" s="16"/>
      <c r="AR423" s="16"/>
      <c r="AS423" s="16"/>
      <c r="AT423" s="67"/>
      <c r="AU423" s="67"/>
      <c r="AV423" s="67"/>
      <c r="AW423" s="67"/>
      <c r="AY423" s="16"/>
      <c r="AZ423" s="16"/>
      <c r="BA423" s="16"/>
      <c r="BB423" s="16"/>
      <c r="BC423" s="67"/>
      <c r="BD423" s="125"/>
      <c r="BE423" s="67"/>
      <c r="BF423" s="67"/>
      <c r="BM423" s="16"/>
    </row>
    <row r="424" spans="1:65" ht="12.75" customHeight="1" x14ac:dyDescent="0.2">
      <c r="A424" s="16"/>
      <c r="B424" s="215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AD424" s="19"/>
      <c r="AE424" s="20"/>
      <c r="AF424" s="21"/>
      <c r="AG424" s="19"/>
      <c r="AH424" s="20"/>
      <c r="AI424" s="22"/>
      <c r="AK424" s="23"/>
      <c r="AL424" s="24"/>
      <c r="AP424" s="16"/>
      <c r="AQ424" s="16"/>
      <c r="AR424" s="16"/>
      <c r="AS424" s="16"/>
      <c r="AT424" s="67"/>
      <c r="AU424" s="67"/>
      <c r="AV424" s="67"/>
      <c r="AW424" s="67"/>
      <c r="AY424" s="16"/>
      <c r="AZ424" s="16"/>
      <c r="BA424" s="16"/>
      <c r="BB424" s="16"/>
      <c r="BC424" s="67"/>
      <c r="BD424" s="125"/>
      <c r="BE424" s="67"/>
      <c r="BF424" s="67"/>
      <c r="BM424" s="16"/>
    </row>
    <row r="425" spans="1:65" ht="12.75" customHeight="1" x14ac:dyDescent="0.2">
      <c r="A425" s="16"/>
      <c r="B425" s="215"/>
      <c r="C425" s="216"/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AD425" s="19"/>
      <c r="AE425" s="20"/>
      <c r="AF425" s="21"/>
      <c r="AG425" s="19"/>
      <c r="AH425" s="20"/>
      <c r="AI425" s="22"/>
      <c r="AK425" s="23"/>
      <c r="AL425" s="24"/>
      <c r="AP425" s="16"/>
      <c r="AQ425" s="16"/>
      <c r="AR425" s="16"/>
      <c r="AS425" s="16"/>
      <c r="AT425" s="67"/>
      <c r="AU425" s="67"/>
      <c r="AV425" s="67"/>
      <c r="AW425" s="67"/>
      <c r="AY425" s="16"/>
      <c r="AZ425" s="16"/>
      <c r="BA425" s="16"/>
      <c r="BB425" s="16"/>
      <c r="BC425" s="67"/>
      <c r="BD425" s="125"/>
      <c r="BE425" s="67"/>
      <c r="BF425" s="67"/>
      <c r="BM425" s="16"/>
    </row>
    <row r="426" spans="1:65" ht="12.75" customHeight="1" x14ac:dyDescent="0.2">
      <c r="A426" s="16"/>
      <c r="B426" s="215"/>
      <c r="C426" s="216"/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AD426" s="19"/>
      <c r="AE426" s="20"/>
      <c r="AF426" s="21"/>
      <c r="AG426" s="19"/>
      <c r="AH426" s="20"/>
      <c r="AI426" s="22"/>
      <c r="AK426" s="23"/>
      <c r="AL426" s="24"/>
      <c r="AP426" s="16"/>
      <c r="AQ426" s="16"/>
      <c r="AR426" s="16"/>
      <c r="AS426" s="16"/>
      <c r="AT426" s="67"/>
      <c r="AU426" s="67"/>
      <c r="AV426" s="67"/>
      <c r="AW426" s="67"/>
      <c r="AY426" s="16"/>
      <c r="AZ426" s="16"/>
      <c r="BA426" s="16"/>
      <c r="BB426" s="16"/>
      <c r="BC426" s="67"/>
      <c r="BD426" s="125"/>
      <c r="BE426" s="67"/>
      <c r="BF426" s="67"/>
      <c r="BM426" s="16"/>
    </row>
    <row r="427" spans="1:65" ht="12.75" customHeight="1" x14ac:dyDescent="0.2">
      <c r="A427" s="16"/>
      <c r="B427" s="215"/>
      <c r="C427" s="216"/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AD427" s="19"/>
      <c r="AE427" s="20"/>
      <c r="AF427" s="21"/>
      <c r="AG427" s="19"/>
      <c r="AH427" s="20"/>
      <c r="AI427" s="22"/>
      <c r="AK427" s="23"/>
      <c r="AL427" s="24"/>
      <c r="AP427" s="16"/>
      <c r="AQ427" s="16"/>
      <c r="AR427" s="16"/>
      <c r="AS427" s="16"/>
      <c r="AT427" s="67"/>
      <c r="AU427" s="67"/>
      <c r="AV427" s="67"/>
      <c r="AW427" s="67"/>
      <c r="AY427" s="16"/>
      <c r="AZ427" s="16"/>
      <c r="BA427" s="16"/>
      <c r="BB427" s="16"/>
      <c r="BC427" s="67"/>
      <c r="BD427" s="125"/>
      <c r="BE427" s="67"/>
      <c r="BF427" s="67"/>
      <c r="BM427" s="16"/>
    </row>
    <row r="428" spans="1:65" ht="12.75" customHeight="1" x14ac:dyDescent="0.2">
      <c r="A428" s="16"/>
      <c r="B428" s="215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AD428" s="19"/>
      <c r="AE428" s="20"/>
      <c r="AF428" s="21"/>
      <c r="AG428" s="19"/>
      <c r="AH428" s="20"/>
      <c r="AI428" s="22"/>
      <c r="AK428" s="23"/>
      <c r="AL428" s="24"/>
      <c r="AP428" s="16"/>
      <c r="AQ428" s="16"/>
      <c r="AR428" s="16"/>
      <c r="AS428" s="16"/>
      <c r="AT428" s="67"/>
      <c r="AU428" s="67"/>
      <c r="AV428" s="67"/>
      <c r="AW428" s="67"/>
      <c r="AY428" s="16"/>
      <c r="AZ428" s="16"/>
      <c r="BA428" s="16"/>
      <c r="BB428" s="16"/>
      <c r="BC428" s="67"/>
      <c r="BD428" s="125"/>
      <c r="BE428" s="67"/>
      <c r="BF428" s="67"/>
      <c r="BM428" s="16"/>
    </row>
    <row r="429" spans="1:65" ht="12.75" customHeight="1" x14ac:dyDescent="0.2">
      <c r="A429" s="16"/>
      <c r="B429" s="215"/>
      <c r="C429" s="216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AD429" s="19"/>
      <c r="AE429" s="20"/>
      <c r="AF429" s="21"/>
      <c r="AG429" s="19"/>
      <c r="AH429" s="20"/>
      <c r="AI429" s="22"/>
      <c r="AK429" s="23"/>
      <c r="AL429" s="24"/>
      <c r="AP429" s="16"/>
      <c r="AQ429" s="16"/>
      <c r="AR429" s="16"/>
      <c r="AS429" s="16"/>
      <c r="AT429" s="67"/>
      <c r="AU429" s="67"/>
      <c r="AV429" s="67"/>
      <c r="AW429" s="67"/>
      <c r="AY429" s="16"/>
      <c r="AZ429" s="16"/>
      <c r="BA429" s="16"/>
      <c r="BB429" s="16"/>
      <c r="BC429" s="67"/>
      <c r="BD429" s="125"/>
      <c r="BE429" s="67"/>
      <c r="BF429" s="67"/>
      <c r="BM429" s="16"/>
    </row>
    <row r="430" spans="1:65" ht="12.75" customHeight="1" x14ac:dyDescent="0.2">
      <c r="A430" s="16"/>
      <c r="B430" s="212"/>
      <c r="AD430" s="19"/>
      <c r="AE430" s="20"/>
      <c r="AF430" s="21"/>
      <c r="AG430" s="19"/>
      <c r="AH430" s="20"/>
      <c r="AI430" s="22"/>
      <c r="AK430" s="23"/>
      <c r="AL430" s="24"/>
      <c r="AP430" s="16"/>
      <c r="AQ430" s="16"/>
      <c r="AR430" s="16"/>
      <c r="AS430" s="16"/>
      <c r="AT430" s="67"/>
      <c r="AU430" s="67"/>
      <c r="AV430" s="67"/>
      <c r="AW430" s="67"/>
      <c r="AY430" s="16"/>
      <c r="AZ430" s="16"/>
      <c r="BA430" s="16"/>
      <c r="BB430" s="16"/>
      <c r="BC430" s="67"/>
      <c r="BD430" s="125"/>
      <c r="BE430" s="67"/>
      <c r="BF430" s="67"/>
      <c r="BM430" s="16"/>
    </row>
    <row r="431" spans="1:65" ht="12.75" customHeight="1" x14ac:dyDescent="0.2">
      <c r="A431" s="16"/>
      <c r="B431" s="212"/>
      <c r="AD431" s="19"/>
      <c r="AE431" s="20"/>
      <c r="AF431" s="21"/>
      <c r="AG431" s="19"/>
      <c r="AH431" s="20"/>
      <c r="AI431" s="22"/>
      <c r="AK431" s="23"/>
      <c r="AL431" s="24"/>
      <c r="AP431" s="16"/>
      <c r="AQ431" s="16"/>
      <c r="AR431" s="16"/>
      <c r="AS431" s="16"/>
      <c r="AT431" s="67"/>
      <c r="AU431" s="67"/>
      <c r="AV431" s="67"/>
      <c r="AW431" s="67"/>
      <c r="AY431" s="16"/>
      <c r="AZ431" s="16"/>
      <c r="BA431" s="16"/>
      <c r="BB431" s="16"/>
      <c r="BC431" s="67"/>
      <c r="BD431" s="125"/>
      <c r="BE431" s="67"/>
      <c r="BF431" s="67"/>
      <c r="BM431" s="16"/>
    </row>
    <row r="432" spans="1:65" ht="12.75" customHeight="1" x14ac:dyDescent="0.2">
      <c r="A432" s="16"/>
      <c r="B432" s="212"/>
      <c r="AD432" s="19"/>
      <c r="AE432" s="20"/>
      <c r="AF432" s="21"/>
      <c r="AG432" s="19"/>
      <c r="AH432" s="20"/>
      <c r="AI432" s="22"/>
      <c r="AK432" s="23"/>
      <c r="AL432" s="24"/>
      <c r="AP432" s="16"/>
      <c r="AQ432" s="16"/>
      <c r="AR432" s="16"/>
      <c r="AS432" s="16"/>
      <c r="AT432" s="67"/>
      <c r="AU432" s="67"/>
      <c r="AV432" s="67"/>
      <c r="AW432" s="67"/>
      <c r="AY432" s="16"/>
      <c r="AZ432" s="16"/>
      <c r="BA432" s="16"/>
      <c r="BB432" s="16"/>
      <c r="BC432" s="67"/>
      <c r="BD432" s="125"/>
      <c r="BE432" s="67"/>
      <c r="BF432" s="67"/>
      <c r="BM432" s="16"/>
    </row>
    <row r="433" spans="1:65" ht="12.75" customHeight="1" x14ac:dyDescent="0.2">
      <c r="A433" s="16"/>
      <c r="B433" s="212"/>
      <c r="AD433" s="19"/>
      <c r="AE433" s="20"/>
      <c r="AF433" s="21"/>
      <c r="AG433" s="19"/>
      <c r="AH433" s="20"/>
      <c r="AI433" s="22"/>
      <c r="AK433" s="23"/>
      <c r="AL433" s="24"/>
      <c r="AP433" s="16"/>
      <c r="AQ433" s="16"/>
      <c r="AR433" s="16"/>
      <c r="AS433" s="16"/>
      <c r="AT433" s="67"/>
      <c r="AU433" s="67"/>
      <c r="AV433" s="67"/>
      <c r="AW433" s="67"/>
      <c r="AY433" s="16"/>
      <c r="AZ433" s="16"/>
      <c r="BA433" s="16"/>
      <c r="BB433" s="16"/>
      <c r="BC433" s="67"/>
      <c r="BD433" s="125"/>
      <c r="BE433" s="67"/>
      <c r="BF433" s="67"/>
      <c r="BM433" s="16"/>
    </row>
    <row r="434" spans="1:65" ht="12.75" customHeight="1" x14ac:dyDescent="0.2">
      <c r="A434" s="16"/>
      <c r="B434" s="212"/>
      <c r="AD434" s="19"/>
      <c r="AE434" s="20"/>
      <c r="AF434" s="21"/>
      <c r="AG434" s="19"/>
      <c r="AH434" s="20"/>
      <c r="AI434" s="22"/>
      <c r="AK434" s="23"/>
      <c r="AL434" s="24"/>
      <c r="AP434" s="16"/>
      <c r="AQ434" s="16"/>
      <c r="AR434" s="16"/>
      <c r="AS434" s="16"/>
      <c r="AT434" s="67"/>
      <c r="AU434" s="67"/>
      <c r="AV434" s="67"/>
      <c r="AW434" s="67"/>
      <c r="AY434" s="16"/>
      <c r="AZ434" s="16"/>
      <c r="BA434" s="16"/>
      <c r="BB434" s="16"/>
      <c r="BC434" s="67"/>
      <c r="BD434" s="125"/>
      <c r="BE434" s="67"/>
      <c r="BF434" s="67"/>
      <c r="BM434" s="16"/>
    </row>
    <row r="435" spans="1:65" ht="12.75" customHeight="1" x14ac:dyDescent="0.2">
      <c r="A435" s="16"/>
      <c r="B435" s="212"/>
      <c r="AD435" s="19"/>
      <c r="AE435" s="20"/>
      <c r="AF435" s="21"/>
      <c r="AG435" s="19"/>
      <c r="AH435" s="20"/>
      <c r="AI435" s="22"/>
      <c r="AK435" s="23"/>
      <c r="AL435" s="24"/>
      <c r="AP435" s="16"/>
      <c r="AQ435" s="16"/>
      <c r="AR435" s="16"/>
      <c r="AS435" s="16"/>
      <c r="AT435" s="67"/>
      <c r="AU435" s="67"/>
      <c r="AV435" s="67"/>
      <c r="AW435" s="67"/>
      <c r="AY435" s="16"/>
      <c r="AZ435" s="16"/>
      <c r="BA435" s="16"/>
      <c r="BB435" s="16"/>
      <c r="BC435" s="67"/>
      <c r="BD435" s="125"/>
      <c r="BE435" s="67"/>
      <c r="BF435" s="67"/>
      <c r="BM435" s="16"/>
    </row>
    <row r="436" spans="1:65" ht="12.75" customHeight="1" x14ac:dyDescent="0.2">
      <c r="A436" s="16"/>
      <c r="B436" s="212"/>
      <c r="AD436" s="19"/>
      <c r="AE436" s="20"/>
      <c r="AF436" s="21"/>
      <c r="AG436" s="19"/>
      <c r="AH436" s="20"/>
      <c r="AI436" s="22"/>
      <c r="AK436" s="23"/>
      <c r="AL436" s="24"/>
      <c r="AP436" s="16"/>
      <c r="AQ436" s="16"/>
      <c r="AR436" s="16"/>
      <c r="AS436" s="16"/>
      <c r="AT436" s="67"/>
      <c r="AU436" s="67"/>
      <c r="AV436" s="67"/>
      <c r="AW436" s="67"/>
      <c r="AY436" s="16"/>
      <c r="AZ436" s="16"/>
      <c r="BA436" s="16"/>
      <c r="BB436" s="16"/>
      <c r="BC436" s="67"/>
      <c r="BD436" s="125"/>
      <c r="BE436" s="67"/>
      <c r="BF436" s="67"/>
      <c r="BM436" s="16"/>
    </row>
    <row r="437" spans="1:65" ht="12.75" customHeight="1" x14ac:dyDescent="0.2">
      <c r="A437" s="16"/>
      <c r="B437" s="212"/>
      <c r="AD437" s="19"/>
      <c r="AE437" s="20"/>
      <c r="AF437" s="21"/>
      <c r="AG437" s="19"/>
      <c r="AH437" s="20"/>
      <c r="AI437" s="22"/>
      <c r="AK437" s="23"/>
      <c r="AL437" s="24"/>
      <c r="AP437" s="16"/>
      <c r="AQ437" s="16"/>
      <c r="AR437" s="16"/>
      <c r="AS437" s="16"/>
      <c r="AT437" s="67"/>
      <c r="AU437" s="67"/>
      <c r="AV437" s="67"/>
      <c r="AW437" s="67"/>
      <c r="AY437" s="16"/>
      <c r="AZ437" s="16"/>
      <c r="BA437" s="16"/>
      <c r="BB437" s="16"/>
      <c r="BC437" s="67"/>
      <c r="BD437" s="125"/>
      <c r="BE437" s="67"/>
      <c r="BF437" s="67"/>
      <c r="BM437" s="16"/>
    </row>
    <row r="438" spans="1:65" ht="12.75" customHeight="1" x14ac:dyDescent="0.2">
      <c r="A438" s="16"/>
      <c r="B438" s="212"/>
      <c r="AD438" s="19"/>
      <c r="AE438" s="20"/>
      <c r="AF438" s="21"/>
      <c r="AG438" s="19"/>
      <c r="AH438" s="20"/>
      <c r="AI438" s="22"/>
      <c r="AK438" s="23"/>
      <c r="AL438" s="24"/>
      <c r="AP438" s="16"/>
      <c r="AQ438" s="16"/>
      <c r="AR438" s="16"/>
      <c r="AS438" s="16"/>
      <c r="AT438" s="67"/>
      <c r="AU438" s="67"/>
      <c r="AV438" s="67"/>
      <c r="AW438" s="67"/>
      <c r="AY438" s="16"/>
      <c r="AZ438" s="16"/>
      <c r="BA438" s="16"/>
      <c r="BB438" s="16"/>
      <c r="BC438" s="67"/>
      <c r="BD438" s="125"/>
      <c r="BE438" s="67"/>
      <c r="BF438" s="67"/>
      <c r="BM438" s="16"/>
    </row>
    <row r="439" spans="1:65" ht="12.75" customHeight="1" x14ac:dyDescent="0.2">
      <c r="A439" s="16"/>
      <c r="B439" s="212"/>
      <c r="AD439" s="19"/>
      <c r="AE439" s="20"/>
      <c r="AF439" s="21"/>
      <c r="AG439" s="19"/>
      <c r="AH439" s="20"/>
      <c r="AI439" s="22"/>
      <c r="AK439" s="23"/>
      <c r="AL439" s="24"/>
      <c r="AP439" s="16"/>
      <c r="AQ439" s="16"/>
      <c r="AR439" s="16"/>
      <c r="AS439" s="16"/>
      <c r="AT439" s="67"/>
      <c r="AU439" s="67"/>
      <c r="AV439" s="67"/>
      <c r="AW439" s="67"/>
      <c r="AY439" s="16"/>
      <c r="AZ439" s="16"/>
      <c r="BA439" s="16"/>
      <c r="BB439" s="16"/>
      <c r="BC439" s="67"/>
      <c r="BD439" s="125"/>
      <c r="BE439" s="67"/>
      <c r="BF439" s="67"/>
      <c r="BM439" s="16"/>
    </row>
    <row r="440" spans="1:65" ht="12.75" customHeight="1" x14ac:dyDescent="0.2">
      <c r="A440" s="16"/>
      <c r="B440" s="212"/>
      <c r="AD440" s="19"/>
      <c r="AE440" s="20"/>
      <c r="AF440" s="21"/>
      <c r="AG440" s="19"/>
      <c r="AH440" s="20"/>
      <c r="AI440" s="22"/>
      <c r="AK440" s="23"/>
      <c r="AL440" s="24"/>
      <c r="AP440" s="16"/>
      <c r="AQ440" s="16"/>
      <c r="AR440" s="16"/>
      <c r="AS440" s="16"/>
      <c r="AT440" s="67"/>
      <c r="AU440" s="67"/>
      <c r="AV440" s="67"/>
      <c r="AW440" s="67"/>
      <c r="AY440" s="16"/>
      <c r="AZ440" s="16"/>
      <c r="BA440" s="16"/>
      <c r="BB440" s="16"/>
      <c r="BC440" s="67"/>
      <c r="BD440" s="125"/>
      <c r="BE440" s="67"/>
      <c r="BF440" s="67"/>
      <c r="BM440" s="16"/>
    </row>
    <row r="441" spans="1:65" ht="12.75" customHeight="1" x14ac:dyDescent="0.2">
      <c r="A441" s="16"/>
      <c r="B441" s="212"/>
      <c r="AD441" s="19"/>
      <c r="AE441" s="20"/>
      <c r="AF441" s="21"/>
      <c r="AG441" s="19"/>
      <c r="AH441" s="20"/>
      <c r="AI441" s="22"/>
      <c r="AK441" s="23"/>
      <c r="AL441" s="24"/>
      <c r="AP441" s="16"/>
      <c r="AQ441" s="16"/>
      <c r="AR441" s="16"/>
      <c r="AS441" s="16"/>
      <c r="AT441" s="67"/>
      <c r="AU441" s="67"/>
      <c r="AV441" s="67"/>
      <c r="AW441" s="67"/>
      <c r="AY441" s="16"/>
      <c r="AZ441" s="16"/>
      <c r="BA441" s="16"/>
      <c r="BB441" s="16"/>
      <c r="BC441" s="67"/>
      <c r="BD441" s="125"/>
      <c r="BE441" s="67"/>
      <c r="BF441" s="67"/>
      <c r="BM441" s="16"/>
    </row>
    <row r="442" spans="1:65" ht="12.75" customHeight="1" x14ac:dyDescent="0.2">
      <c r="A442" s="16"/>
      <c r="B442" s="212"/>
      <c r="AD442" s="19"/>
      <c r="AE442" s="20"/>
      <c r="AF442" s="21"/>
      <c r="AG442" s="19"/>
      <c r="AH442" s="20"/>
      <c r="AI442" s="22"/>
      <c r="AK442" s="23"/>
      <c r="AL442" s="24"/>
      <c r="AP442" s="16"/>
      <c r="AQ442" s="16"/>
      <c r="AR442" s="16"/>
      <c r="AS442" s="16"/>
      <c r="AT442" s="67"/>
      <c r="AU442" s="67"/>
      <c r="AV442" s="67"/>
      <c r="AW442" s="67"/>
      <c r="AY442" s="16"/>
      <c r="AZ442" s="16"/>
      <c r="BA442" s="16"/>
      <c r="BB442" s="16"/>
      <c r="BC442" s="67"/>
      <c r="BD442" s="125"/>
      <c r="BE442" s="67"/>
      <c r="BF442" s="67"/>
      <c r="BM442" s="16"/>
    </row>
    <row r="443" spans="1:65" ht="12.75" customHeight="1" x14ac:dyDescent="0.2">
      <c r="A443" s="16"/>
      <c r="B443" s="212"/>
      <c r="AD443" s="19"/>
      <c r="AE443" s="20"/>
      <c r="AF443" s="21"/>
      <c r="AG443" s="19"/>
      <c r="AH443" s="20"/>
      <c r="AI443" s="22"/>
      <c r="AK443" s="23"/>
      <c r="AL443" s="24"/>
      <c r="AP443" s="16"/>
      <c r="AQ443" s="16"/>
      <c r="AR443" s="16"/>
      <c r="AS443" s="16"/>
      <c r="AT443" s="67"/>
      <c r="AU443" s="67"/>
      <c r="AV443" s="67"/>
      <c r="AW443" s="67"/>
      <c r="AY443" s="16"/>
      <c r="AZ443" s="16"/>
      <c r="BA443" s="16"/>
      <c r="BB443" s="16"/>
      <c r="BC443" s="67"/>
      <c r="BD443" s="125"/>
      <c r="BE443" s="67"/>
      <c r="BF443" s="67"/>
      <c r="BM443" s="16"/>
    </row>
    <row r="444" spans="1:65" ht="12.75" customHeight="1" x14ac:dyDescent="0.2">
      <c r="A444" s="16"/>
      <c r="B444" s="212"/>
      <c r="AD444" s="19"/>
      <c r="AE444" s="20"/>
      <c r="AF444" s="21"/>
      <c r="AG444" s="19"/>
      <c r="AH444" s="20"/>
      <c r="AI444" s="22"/>
      <c r="AK444" s="23"/>
      <c r="AL444" s="24"/>
      <c r="AP444" s="16"/>
      <c r="AQ444" s="16"/>
      <c r="AR444" s="16"/>
      <c r="AS444" s="16"/>
      <c r="AT444" s="67"/>
      <c r="AU444" s="67"/>
      <c r="AV444" s="67"/>
      <c r="AW444" s="67"/>
      <c r="AY444" s="16"/>
      <c r="AZ444" s="16"/>
      <c r="BA444" s="16"/>
      <c r="BB444" s="16"/>
      <c r="BC444" s="67"/>
      <c r="BD444" s="125"/>
      <c r="BE444" s="67"/>
      <c r="BF444" s="67"/>
      <c r="BM444" s="16"/>
    </row>
    <row r="445" spans="1:65" ht="12.75" customHeight="1" x14ac:dyDescent="0.2">
      <c r="A445" s="16"/>
      <c r="B445" s="212"/>
      <c r="AD445" s="19"/>
      <c r="AE445" s="20"/>
      <c r="AF445" s="21"/>
      <c r="AG445" s="19"/>
      <c r="AH445" s="20"/>
      <c r="AI445" s="22"/>
      <c r="AK445" s="23"/>
      <c r="AL445" s="24"/>
      <c r="AP445" s="16"/>
      <c r="AQ445" s="16"/>
      <c r="AR445" s="16"/>
      <c r="AS445" s="16"/>
      <c r="AT445" s="67"/>
      <c r="AU445" s="67"/>
      <c r="AV445" s="67"/>
      <c r="AW445" s="67"/>
      <c r="AY445" s="16"/>
      <c r="AZ445" s="16"/>
      <c r="BA445" s="16"/>
      <c r="BB445" s="16"/>
      <c r="BC445" s="67"/>
      <c r="BD445" s="125"/>
      <c r="BE445" s="67"/>
      <c r="BF445" s="67"/>
      <c r="BM445" s="16"/>
    </row>
    <row r="446" spans="1:65" ht="12.75" customHeight="1" x14ac:dyDescent="0.2">
      <c r="A446" s="16"/>
      <c r="B446" s="212"/>
      <c r="AD446" s="19"/>
      <c r="AE446" s="20"/>
      <c r="AF446" s="21"/>
      <c r="AG446" s="19"/>
      <c r="AH446" s="20"/>
      <c r="AI446" s="22"/>
      <c r="AK446" s="23"/>
      <c r="AL446" s="24"/>
      <c r="AP446" s="16"/>
      <c r="AQ446" s="16"/>
      <c r="AR446" s="16"/>
      <c r="AS446" s="16"/>
      <c r="AT446" s="67"/>
      <c r="AU446" s="67"/>
      <c r="AV446" s="67"/>
      <c r="AW446" s="67"/>
      <c r="AY446" s="16"/>
      <c r="AZ446" s="16"/>
      <c r="BA446" s="16"/>
      <c r="BB446" s="16"/>
      <c r="BC446" s="67"/>
      <c r="BD446" s="125"/>
      <c r="BE446" s="67"/>
      <c r="BF446" s="67"/>
      <c r="BM446" s="16"/>
    </row>
    <row r="447" spans="1:65" ht="12.75" customHeight="1" x14ac:dyDescent="0.2">
      <c r="A447" s="16"/>
      <c r="B447" s="212"/>
      <c r="AD447" s="19"/>
      <c r="AE447" s="20"/>
      <c r="AF447" s="21"/>
      <c r="AG447" s="19"/>
      <c r="AH447" s="20"/>
      <c r="AI447" s="22"/>
      <c r="AK447" s="23"/>
      <c r="AL447" s="24"/>
      <c r="AP447" s="16"/>
      <c r="AQ447" s="16"/>
      <c r="AR447" s="16"/>
      <c r="AS447" s="16"/>
      <c r="AT447" s="67"/>
      <c r="AU447" s="67"/>
      <c r="AV447" s="67"/>
      <c r="AW447" s="67"/>
      <c r="AY447" s="16"/>
      <c r="AZ447" s="16"/>
      <c r="BA447" s="16"/>
      <c r="BB447" s="16"/>
      <c r="BC447" s="67"/>
      <c r="BD447" s="125"/>
      <c r="BE447" s="67"/>
      <c r="BF447" s="67"/>
      <c r="BM447" s="16"/>
    </row>
    <row r="448" spans="1:65" ht="12.75" customHeight="1" x14ac:dyDescent="0.2">
      <c r="A448" s="16"/>
      <c r="B448" s="212"/>
      <c r="AD448" s="19"/>
      <c r="AE448" s="20"/>
      <c r="AF448" s="21"/>
      <c r="AG448" s="19"/>
      <c r="AH448" s="20"/>
      <c r="AI448" s="22"/>
      <c r="AK448" s="23"/>
      <c r="AL448" s="24"/>
      <c r="AP448" s="16"/>
      <c r="AQ448" s="16"/>
      <c r="AR448" s="16"/>
      <c r="AS448" s="16"/>
      <c r="AT448" s="67"/>
      <c r="AU448" s="67"/>
      <c r="AV448" s="67"/>
      <c r="AW448" s="67"/>
      <c r="AY448" s="16"/>
      <c r="AZ448" s="16"/>
      <c r="BA448" s="16"/>
      <c r="BB448" s="16"/>
      <c r="BC448" s="67"/>
      <c r="BD448" s="125"/>
      <c r="BE448" s="67"/>
      <c r="BF448" s="67"/>
      <c r="BM448" s="16"/>
    </row>
    <row r="449" spans="1:65" ht="12.75" customHeight="1" x14ac:dyDescent="0.2">
      <c r="A449" s="16"/>
      <c r="B449" s="212"/>
      <c r="AD449" s="19"/>
      <c r="AE449" s="20"/>
      <c r="AF449" s="21"/>
      <c r="AG449" s="19"/>
      <c r="AH449" s="20"/>
      <c r="AI449" s="22"/>
      <c r="AK449" s="23"/>
      <c r="AL449" s="24"/>
      <c r="AP449" s="16"/>
      <c r="AQ449" s="16"/>
      <c r="AR449" s="16"/>
      <c r="AS449" s="16"/>
      <c r="AT449" s="67"/>
      <c r="AU449" s="67"/>
      <c r="AV449" s="67"/>
      <c r="AW449" s="67"/>
      <c r="AY449" s="16"/>
      <c r="AZ449" s="16"/>
      <c r="BA449" s="16"/>
      <c r="BB449" s="16"/>
      <c r="BC449" s="67"/>
      <c r="BD449" s="125"/>
      <c r="BE449" s="67"/>
      <c r="BF449" s="67"/>
      <c r="BM449" s="16"/>
    </row>
    <row r="450" spans="1:65" ht="12.75" customHeight="1" x14ac:dyDescent="0.2">
      <c r="A450" s="16"/>
      <c r="B450" s="212"/>
      <c r="AD450" s="19"/>
      <c r="AE450" s="20"/>
      <c r="AF450" s="21"/>
      <c r="AG450" s="19"/>
      <c r="AH450" s="20"/>
      <c r="AI450" s="22"/>
      <c r="AK450" s="23"/>
      <c r="AL450" s="24"/>
      <c r="AP450" s="16"/>
      <c r="AQ450" s="16"/>
      <c r="AR450" s="16"/>
      <c r="AS450" s="16"/>
      <c r="AT450" s="67"/>
      <c r="AU450" s="67"/>
      <c r="AV450" s="67"/>
      <c r="AW450" s="67"/>
      <c r="AY450" s="16"/>
      <c r="AZ450" s="16"/>
      <c r="BA450" s="16"/>
      <c r="BB450" s="16"/>
      <c r="BC450" s="67"/>
      <c r="BD450" s="125"/>
      <c r="BE450" s="67"/>
      <c r="BF450" s="67"/>
      <c r="BM450" s="16"/>
    </row>
    <row r="451" spans="1:65" ht="12.75" customHeight="1" x14ac:dyDescent="0.2">
      <c r="A451" s="16"/>
      <c r="B451" s="212"/>
      <c r="AD451" s="19"/>
      <c r="AE451" s="20"/>
      <c r="AF451" s="21"/>
      <c r="AG451" s="19"/>
      <c r="AH451" s="20"/>
      <c r="AI451" s="22"/>
      <c r="AK451" s="23"/>
      <c r="AL451" s="24"/>
      <c r="AP451" s="16"/>
      <c r="AQ451" s="16"/>
      <c r="AR451" s="16"/>
      <c r="AS451" s="16"/>
      <c r="AT451" s="67"/>
      <c r="AU451" s="67"/>
      <c r="AV451" s="67"/>
      <c r="AW451" s="67"/>
      <c r="AY451" s="16"/>
      <c r="AZ451" s="16"/>
      <c r="BA451" s="16"/>
      <c r="BB451" s="16"/>
      <c r="BC451" s="67"/>
      <c r="BD451" s="125"/>
      <c r="BE451" s="67"/>
      <c r="BF451" s="67"/>
      <c r="BM451" s="16"/>
    </row>
    <row r="452" spans="1:65" ht="12.75" customHeight="1" x14ac:dyDescent="0.2">
      <c r="A452" s="16"/>
      <c r="B452" s="212"/>
      <c r="AD452" s="19"/>
      <c r="AE452" s="20"/>
      <c r="AF452" s="21"/>
      <c r="AG452" s="19"/>
      <c r="AH452" s="20"/>
      <c r="AI452" s="22"/>
      <c r="AK452" s="23"/>
      <c r="AL452" s="24"/>
      <c r="AP452" s="16"/>
      <c r="AQ452" s="16"/>
      <c r="AR452" s="16"/>
      <c r="AS452" s="16"/>
      <c r="AT452" s="67"/>
      <c r="AU452" s="67"/>
      <c r="AV452" s="67"/>
      <c r="AW452" s="67"/>
      <c r="AY452" s="16"/>
      <c r="AZ452" s="16"/>
      <c r="BA452" s="16"/>
      <c r="BB452" s="16"/>
      <c r="BC452" s="67"/>
      <c r="BD452" s="125"/>
      <c r="BE452" s="67"/>
      <c r="BF452" s="67"/>
      <c r="BM452" s="16"/>
    </row>
    <row r="453" spans="1:65" ht="12.75" customHeight="1" x14ac:dyDescent="0.2">
      <c r="A453" s="16"/>
      <c r="B453" s="212"/>
      <c r="AD453" s="19"/>
      <c r="AE453" s="20"/>
      <c r="AF453" s="21"/>
      <c r="AG453" s="19"/>
      <c r="AH453" s="20"/>
      <c r="AI453" s="22"/>
      <c r="AK453" s="23"/>
      <c r="AL453" s="24"/>
      <c r="AP453" s="16"/>
      <c r="AQ453" s="16"/>
      <c r="AR453" s="16"/>
      <c r="AS453" s="16"/>
      <c r="AT453" s="67"/>
      <c r="AU453" s="67"/>
      <c r="AV453" s="67"/>
      <c r="AW453" s="67"/>
      <c r="AY453" s="16"/>
      <c r="AZ453" s="16"/>
      <c r="BA453" s="16"/>
      <c r="BB453" s="16"/>
      <c r="BC453" s="67"/>
      <c r="BD453" s="125"/>
      <c r="BE453" s="67"/>
      <c r="BF453" s="67"/>
      <c r="BM453" s="16"/>
    </row>
    <row r="454" spans="1:65" ht="12.75" customHeight="1" x14ac:dyDescent="0.2">
      <c r="A454" s="16"/>
      <c r="B454" s="212"/>
      <c r="AD454" s="19"/>
      <c r="AE454" s="20"/>
      <c r="AF454" s="21"/>
      <c r="AG454" s="19"/>
      <c r="AH454" s="20"/>
      <c r="AI454" s="22"/>
      <c r="AK454" s="23"/>
      <c r="AL454" s="24"/>
      <c r="AP454" s="16"/>
      <c r="AQ454" s="16"/>
      <c r="AR454" s="16"/>
      <c r="AS454" s="16"/>
      <c r="AT454" s="67"/>
      <c r="AU454" s="67"/>
      <c r="AV454" s="67"/>
      <c r="AW454" s="67"/>
      <c r="AY454" s="16"/>
      <c r="AZ454" s="16"/>
      <c r="BA454" s="16"/>
      <c r="BB454" s="16"/>
      <c r="BC454" s="67"/>
      <c r="BD454" s="125"/>
      <c r="BE454" s="67"/>
      <c r="BF454" s="67"/>
      <c r="BM454" s="16"/>
    </row>
    <row r="455" spans="1:65" ht="12.75" customHeight="1" x14ac:dyDescent="0.2">
      <c r="A455" s="16"/>
      <c r="B455" s="212"/>
      <c r="AD455" s="19"/>
      <c r="AE455" s="20"/>
      <c r="AF455" s="21"/>
      <c r="AG455" s="19"/>
      <c r="AH455" s="20"/>
      <c r="AI455" s="22"/>
      <c r="AK455" s="23"/>
      <c r="AL455" s="24"/>
      <c r="AP455" s="16"/>
      <c r="AQ455" s="16"/>
      <c r="AR455" s="16"/>
      <c r="AS455" s="16"/>
      <c r="AT455" s="67"/>
      <c r="AU455" s="67"/>
      <c r="AV455" s="67"/>
      <c r="AW455" s="67"/>
      <c r="AY455" s="16"/>
      <c r="AZ455" s="16"/>
      <c r="BA455" s="16"/>
      <c r="BB455" s="16"/>
      <c r="BC455" s="67"/>
      <c r="BD455" s="125"/>
      <c r="BE455" s="67"/>
      <c r="BF455" s="67"/>
      <c r="BM455" s="16"/>
    </row>
    <row r="456" spans="1:65" ht="12.75" customHeight="1" x14ac:dyDescent="0.2">
      <c r="A456" s="16"/>
      <c r="B456" s="212"/>
      <c r="AD456" s="19"/>
      <c r="AE456" s="20"/>
      <c r="AF456" s="21"/>
      <c r="AG456" s="19"/>
      <c r="AH456" s="20"/>
      <c r="AI456" s="22"/>
      <c r="AK456" s="23"/>
      <c r="AL456" s="24"/>
      <c r="AP456" s="16"/>
      <c r="AQ456" s="16"/>
      <c r="AR456" s="16"/>
      <c r="AS456" s="16"/>
      <c r="AT456" s="67"/>
      <c r="AU456" s="67"/>
      <c r="AV456" s="67"/>
      <c r="AW456" s="67"/>
      <c r="AY456" s="16"/>
      <c r="AZ456" s="16"/>
      <c r="BA456" s="16"/>
      <c r="BB456" s="16"/>
      <c r="BC456" s="67"/>
      <c r="BD456" s="125"/>
      <c r="BE456" s="67"/>
      <c r="BF456" s="67"/>
      <c r="BM456" s="16"/>
    </row>
    <row r="457" spans="1:65" ht="12.75" customHeight="1" x14ac:dyDescent="0.2">
      <c r="A457" s="16"/>
      <c r="B457" s="212"/>
      <c r="AD457" s="19"/>
      <c r="AE457" s="20"/>
      <c r="AF457" s="21"/>
      <c r="AG457" s="19"/>
      <c r="AH457" s="20"/>
      <c r="AI457" s="22"/>
      <c r="AK457" s="23"/>
      <c r="AL457" s="24"/>
      <c r="AP457" s="16"/>
      <c r="AQ457" s="16"/>
      <c r="AR457" s="16"/>
      <c r="AS457" s="16"/>
      <c r="AT457" s="67"/>
      <c r="AU457" s="67"/>
      <c r="AV457" s="67"/>
      <c r="AW457" s="67"/>
      <c r="AY457" s="16"/>
      <c r="AZ457" s="16"/>
      <c r="BA457" s="16"/>
      <c r="BB457" s="16"/>
      <c r="BC457" s="67"/>
      <c r="BD457" s="125"/>
      <c r="BE457" s="67"/>
      <c r="BF457" s="67"/>
      <c r="BM457" s="16"/>
    </row>
    <row r="458" spans="1:65" ht="12.75" customHeight="1" x14ac:dyDescent="0.2">
      <c r="A458" s="16"/>
      <c r="B458" s="212"/>
      <c r="AD458" s="19"/>
      <c r="AE458" s="20"/>
      <c r="AF458" s="21"/>
      <c r="AG458" s="19"/>
      <c r="AH458" s="20"/>
      <c r="AI458" s="22"/>
      <c r="AK458" s="23"/>
      <c r="AL458" s="24"/>
      <c r="AP458" s="16"/>
      <c r="AQ458" s="16"/>
      <c r="AR458" s="16"/>
      <c r="AS458" s="16"/>
      <c r="AT458" s="67"/>
      <c r="AU458" s="67"/>
      <c r="AV458" s="67"/>
      <c r="AW458" s="67"/>
      <c r="AY458" s="16"/>
      <c r="AZ458" s="16"/>
      <c r="BA458" s="16"/>
      <c r="BB458" s="16"/>
      <c r="BC458" s="67"/>
      <c r="BD458" s="125"/>
      <c r="BE458" s="67"/>
      <c r="BF458" s="67"/>
      <c r="BM458" s="16"/>
    </row>
    <row r="459" spans="1:65" ht="12.75" customHeight="1" x14ac:dyDescent="0.2">
      <c r="A459" s="16"/>
      <c r="B459" s="212"/>
      <c r="AD459" s="19"/>
      <c r="AE459" s="20"/>
      <c r="AF459" s="21"/>
      <c r="AG459" s="19"/>
      <c r="AH459" s="20"/>
      <c r="AI459" s="22"/>
      <c r="AK459" s="23"/>
      <c r="AL459" s="24"/>
      <c r="AP459" s="16"/>
      <c r="AQ459" s="16"/>
      <c r="AR459" s="16"/>
      <c r="AS459" s="16"/>
      <c r="AT459" s="67"/>
      <c r="AU459" s="67"/>
      <c r="AV459" s="67"/>
      <c r="AW459" s="67"/>
      <c r="AY459" s="16"/>
      <c r="AZ459" s="16"/>
      <c r="BA459" s="16"/>
      <c r="BB459" s="16"/>
      <c r="BC459" s="67"/>
      <c r="BD459" s="125"/>
      <c r="BE459" s="67"/>
      <c r="BF459" s="67"/>
      <c r="BM459" s="16"/>
    </row>
    <row r="460" spans="1:65" ht="12.75" customHeight="1" x14ac:dyDescent="0.2">
      <c r="A460" s="16"/>
      <c r="B460" s="212"/>
      <c r="AD460" s="19"/>
      <c r="AE460" s="20"/>
      <c r="AF460" s="21"/>
      <c r="AG460" s="19"/>
      <c r="AH460" s="20"/>
      <c r="AI460" s="22"/>
      <c r="AK460" s="23"/>
      <c r="AL460" s="24"/>
      <c r="AP460" s="16"/>
      <c r="AQ460" s="16"/>
      <c r="AR460" s="16"/>
      <c r="AS460" s="16"/>
      <c r="AT460" s="67"/>
      <c r="AU460" s="67"/>
      <c r="AV460" s="67"/>
      <c r="AW460" s="67"/>
      <c r="AY460" s="16"/>
      <c r="AZ460" s="16"/>
      <c r="BA460" s="16"/>
      <c r="BB460" s="16"/>
      <c r="BC460" s="67"/>
      <c r="BD460" s="125"/>
      <c r="BE460" s="67"/>
      <c r="BF460" s="67"/>
      <c r="BM460" s="16"/>
    </row>
    <row r="461" spans="1:65" ht="12.75" customHeight="1" x14ac:dyDescent="0.2">
      <c r="A461" s="16"/>
      <c r="B461" s="212"/>
      <c r="AD461" s="19"/>
      <c r="AE461" s="20"/>
      <c r="AF461" s="21"/>
      <c r="AG461" s="19"/>
      <c r="AH461" s="20"/>
      <c r="AI461" s="22"/>
      <c r="AK461" s="23"/>
      <c r="AL461" s="24"/>
      <c r="AP461" s="16"/>
      <c r="AQ461" s="16"/>
      <c r="AR461" s="16"/>
      <c r="AS461" s="16"/>
      <c r="AT461" s="67"/>
      <c r="AU461" s="67"/>
      <c r="AV461" s="67"/>
      <c r="AW461" s="67"/>
      <c r="AY461" s="16"/>
      <c r="AZ461" s="16"/>
      <c r="BA461" s="16"/>
      <c r="BB461" s="16"/>
      <c r="BC461" s="67"/>
      <c r="BD461" s="125"/>
      <c r="BE461" s="67"/>
      <c r="BF461" s="67"/>
      <c r="BM461" s="16"/>
    </row>
    <row r="462" spans="1:65" ht="12.75" customHeight="1" x14ac:dyDescent="0.2">
      <c r="A462" s="16"/>
      <c r="B462" s="212"/>
      <c r="AD462" s="19"/>
      <c r="AE462" s="20"/>
      <c r="AF462" s="21"/>
      <c r="AG462" s="19"/>
      <c r="AH462" s="20"/>
      <c r="AI462" s="22"/>
      <c r="AK462" s="23"/>
      <c r="AL462" s="24"/>
      <c r="AP462" s="16"/>
      <c r="AQ462" s="16"/>
      <c r="AR462" s="16"/>
      <c r="AS462" s="16"/>
      <c r="AT462" s="67"/>
      <c r="AU462" s="67"/>
      <c r="AV462" s="67"/>
      <c r="AW462" s="67"/>
      <c r="AY462" s="16"/>
      <c r="AZ462" s="16"/>
      <c r="BA462" s="16"/>
      <c r="BB462" s="16"/>
      <c r="BC462" s="67"/>
      <c r="BD462" s="125"/>
      <c r="BE462" s="67"/>
      <c r="BF462" s="67"/>
      <c r="BM462" s="16"/>
    </row>
    <row r="463" spans="1:65" ht="12.75" customHeight="1" x14ac:dyDescent="0.2">
      <c r="A463" s="16"/>
      <c r="B463" s="212"/>
      <c r="AD463" s="19"/>
      <c r="AE463" s="20"/>
      <c r="AF463" s="21"/>
      <c r="AG463" s="19"/>
      <c r="AH463" s="20"/>
      <c r="AI463" s="22"/>
      <c r="AK463" s="23"/>
      <c r="AL463" s="24"/>
      <c r="AP463" s="16"/>
      <c r="AQ463" s="16"/>
      <c r="AR463" s="16"/>
      <c r="AS463" s="16"/>
      <c r="AT463" s="67"/>
      <c r="AU463" s="67"/>
      <c r="AV463" s="67"/>
      <c r="AW463" s="67"/>
      <c r="AY463" s="16"/>
      <c r="AZ463" s="16"/>
      <c r="BA463" s="16"/>
      <c r="BB463" s="16"/>
      <c r="BC463" s="67"/>
      <c r="BD463" s="125"/>
      <c r="BE463" s="67"/>
      <c r="BF463" s="67"/>
      <c r="BM463" s="16"/>
    </row>
    <row r="464" spans="1:65" ht="12.75" customHeight="1" x14ac:dyDescent="0.2">
      <c r="A464" s="16"/>
      <c r="B464" s="212"/>
      <c r="AD464" s="19"/>
      <c r="AE464" s="20"/>
      <c r="AF464" s="21"/>
      <c r="AG464" s="19"/>
      <c r="AH464" s="20"/>
      <c r="AI464" s="22"/>
      <c r="AK464" s="23"/>
      <c r="AL464" s="24"/>
      <c r="AP464" s="16"/>
      <c r="AQ464" s="16"/>
      <c r="AR464" s="16"/>
      <c r="AS464" s="16"/>
      <c r="AT464" s="67"/>
      <c r="AU464" s="67"/>
      <c r="AV464" s="67"/>
      <c r="AW464" s="67"/>
      <c r="AY464" s="16"/>
      <c r="AZ464" s="16"/>
      <c r="BA464" s="16"/>
      <c r="BB464" s="16"/>
      <c r="BC464" s="67"/>
      <c r="BD464" s="125"/>
      <c r="BE464" s="67"/>
      <c r="BF464" s="67"/>
      <c r="BM464" s="16"/>
    </row>
    <row r="465" spans="1:65" ht="12.75" customHeight="1" x14ac:dyDescent="0.2">
      <c r="A465" s="16"/>
      <c r="B465" s="212"/>
      <c r="AD465" s="19"/>
      <c r="AE465" s="20"/>
      <c r="AF465" s="21"/>
      <c r="AG465" s="19"/>
      <c r="AH465" s="20"/>
      <c r="AI465" s="22"/>
      <c r="AK465" s="23"/>
      <c r="AL465" s="24"/>
      <c r="AP465" s="16"/>
      <c r="AQ465" s="16"/>
      <c r="AR465" s="16"/>
      <c r="AS465" s="16"/>
      <c r="AT465" s="67"/>
      <c r="AU465" s="67"/>
      <c r="AV465" s="67"/>
      <c r="AW465" s="67"/>
      <c r="AY465" s="16"/>
      <c r="AZ465" s="16"/>
      <c r="BA465" s="16"/>
      <c r="BB465" s="16"/>
      <c r="BC465" s="67"/>
      <c r="BD465" s="125"/>
      <c r="BE465" s="67"/>
      <c r="BF465" s="67"/>
      <c r="BM465" s="16"/>
    </row>
    <row r="466" spans="1:65" ht="12.75" customHeight="1" x14ac:dyDescent="0.2">
      <c r="A466" s="16"/>
      <c r="B466" s="212"/>
      <c r="AD466" s="19"/>
      <c r="AE466" s="20"/>
      <c r="AF466" s="21"/>
      <c r="AG466" s="19"/>
      <c r="AH466" s="20"/>
      <c r="AI466" s="22"/>
      <c r="AK466" s="23"/>
      <c r="AL466" s="24"/>
      <c r="AP466" s="16"/>
      <c r="AQ466" s="16"/>
      <c r="AR466" s="16"/>
      <c r="AS466" s="16"/>
      <c r="AT466" s="67"/>
      <c r="AU466" s="67"/>
      <c r="AV466" s="67"/>
      <c r="AW466" s="67"/>
      <c r="AY466" s="16"/>
      <c r="AZ466" s="16"/>
      <c r="BA466" s="16"/>
      <c r="BB466" s="16"/>
      <c r="BC466" s="67"/>
      <c r="BD466" s="125"/>
      <c r="BE466" s="67"/>
      <c r="BF466" s="67"/>
      <c r="BM466" s="16"/>
    </row>
    <row r="467" spans="1:65" ht="12.75" customHeight="1" x14ac:dyDescent="0.2">
      <c r="A467" s="16"/>
      <c r="B467" s="212"/>
      <c r="AD467" s="19"/>
      <c r="AE467" s="20"/>
      <c r="AF467" s="21"/>
      <c r="AG467" s="19"/>
      <c r="AH467" s="20"/>
      <c r="AI467" s="22"/>
      <c r="AK467" s="23"/>
      <c r="AL467" s="24"/>
      <c r="AP467" s="16"/>
      <c r="AQ467" s="16"/>
      <c r="AR467" s="16"/>
      <c r="AS467" s="16"/>
      <c r="AT467" s="67"/>
      <c r="AU467" s="67"/>
      <c r="AV467" s="67"/>
      <c r="AW467" s="67"/>
      <c r="AY467" s="16"/>
      <c r="AZ467" s="16"/>
      <c r="BA467" s="16"/>
      <c r="BB467" s="16"/>
      <c r="BC467" s="67"/>
      <c r="BD467" s="125"/>
      <c r="BE467" s="67"/>
      <c r="BF467" s="67"/>
      <c r="BM467" s="16"/>
    </row>
    <row r="468" spans="1:65" ht="12.75" customHeight="1" x14ac:dyDescent="0.2">
      <c r="A468" s="16"/>
      <c r="B468" s="212"/>
      <c r="AD468" s="19"/>
      <c r="AE468" s="20"/>
      <c r="AF468" s="21"/>
      <c r="AG468" s="19"/>
      <c r="AH468" s="20"/>
      <c r="AI468" s="22"/>
      <c r="AK468" s="23"/>
      <c r="AL468" s="24"/>
      <c r="AP468" s="16"/>
      <c r="AQ468" s="16"/>
      <c r="AR468" s="16"/>
      <c r="AS468" s="16"/>
      <c r="AT468" s="67"/>
      <c r="AU468" s="67"/>
      <c r="AV468" s="67"/>
      <c r="AW468" s="67"/>
      <c r="AY468" s="16"/>
      <c r="AZ468" s="16"/>
      <c r="BA468" s="16"/>
      <c r="BB468" s="16"/>
      <c r="BC468" s="67"/>
      <c r="BD468" s="125"/>
      <c r="BE468" s="67"/>
      <c r="BF468" s="67"/>
      <c r="BM468" s="16"/>
    </row>
    <row r="469" spans="1:65" ht="12.75" customHeight="1" x14ac:dyDescent="0.2">
      <c r="A469" s="16"/>
      <c r="B469" s="212"/>
      <c r="AD469" s="19"/>
      <c r="AE469" s="20"/>
      <c r="AF469" s="21"/>
      <c r="AG469" s="19"/>
      <c r="AH469" s="20"/>
      <c r="AI469" s="22"/>
      <c r="AK469" s="23"/>
      <c r="AL469" s="24"/>
      <c r="AP469" s="16"/>
      <c r="AQ469" s="16"/>
      <c r="AR469" s="16"/>
      <c r="AS469" s="16"/>
      <c r="AT469" s="67"/>
      <c r="AU469" s="67"/>
      <c r="AV469" s="67"/>
      <c r="AW469" s="67"/>
      <c r="AY469" s="16"/>
      <c r="AZ469" s="16"/>
      <c r="BA469" s="16"/>
      <c r="BB469" s="16"/>
      <c r="BC469" s="67"/>
      <c r="BD469" s="125"/>
      <c r="BE469" s="67"/>
      <c r="BF469" s="67"/>
      <c r="BM469" s="16"/>
    </row>
    <row r="470" spans="1:65" ht="12.75" customHeight="1" x14ac:dyDescent="0.2">
      <c r="A470" s="16"/>
      <c r="B470" s="212"/>
      <c r="AD470" s="19"/>
      <c r="AE470" s="20"/>
      <c r="AF470" s="21"/>
      <c r="AG470" s="19"/>
      <c r="AH470" s="20"/>
      <c r="AI470" s="22"/>
      <c r="AK470" s="23"/>
      <c r="AL470" s="24"/>
      <c r="AP470" s="16"/>
      <c r="AQ470" s="16"/>
      <c r="AR470" s="16"/>
      <c r="AS470" s="16"/>
      <c r="AT470" s="67"/>
      <c r="AU470" s="67"/>
      <c r="AV470" s="67"/>
      <c r="AW470" s="67"/>
      <c r="AY470" s="16"/>
      <c r="AZ470" s="16"/>
      <c r="BA470" s="16"/>
      <c r="BB470" s="16"/>
      <c r="BC470" s="67"/>
      <c r="BD470" s="125"/>
      <c r="BE470" s="67"/>
      <c r="BF470" s="67"/>
      <c r="BM470" s="16"/>
    </row>
    <row r="471" spans="1:65" ht="12.75" customHeight="1" x14ac:dyDescent="0.2">
      <c r="A471" s="16"/>
      <c r="B471" s="212"/>
      <c r="AD471" s="19"/>
      <c r="AE471" s="20"/>
      <c r="AF471" s="21"/>
      <c r="AG471" s="19"/>
      <c r="AH471" s="20"/>
      <c r="AI471" s="22"/>
      <c r="AK471" s="23"/>
      <c r="AL471" s="24"/>
      <c r="AP471" s="16"/>
      <c r="AQ471" s="16"/>
      <c r="AR471" s="16"/>
      <c r="AS471" s="16"/>
      <c r="AT471" s="67"/>
      <c r="AU471" s="67"/>
      <c r="AV471" s="67"/>
      <c r="AW471" s="67"/>
      <c r="AY471" s="16"/>
      <c r="AZ471" s="16"/>
      <c r="BA471" s="16"/>
      <c r="BB471" s="16"/>
      <c r="BC471" s="67"/>
      <c r="BD471" s="125"/>
      <c r="BE471" s="67"/>
      <c r="BF471" s="67"/>
      <c r="BM471" s="16"/>
    </row>
    <row r="472" spans="1:65" ht="12.75" customHeight="1" x14ac:dyDescent="0.2">
      <c r="A472" s="16"/>
      <c r="B472" s="212"/>
      <c r="AD472" s="19"/>
      <c r="AE472" s="20"/>
      <c r="AF472" s="21"/>
      <c r="AG472" s="19"/>
      <c r="AH472" s="20"/>
      <c r="AI472" s="22"/>
      <c r="AK472" s="23"/>
      <c r="AL472" s="24"/>
      <c r="AP472" s="16"/>
      <c r="AQ472" s="16"/>
      <c r="AR472" s="16"/>
      <c r="AS472" s="16"/>
      <c r="AT472" s="67"/>
      <c r="AU472" s="67"/>
      <c r="AV472" s="67"/>
      <c r="AW472" s="67"/>
      <c r="AY472" s="16"/>
      <c r="AZ472" s="16"/>
      <c r="BA472" s="16"/>
      <c r="BB472" s="16"/>
      <c r="BC472" s="67"/>
      <c r="BD472" s="125"/>
      <c r="BE472" s="67"/>
      <c r="BF472" s="67"/>
      <c r="BM472" s="16"/>
    </row>
    <row r="473" spans="1:65" ht="12.75" customHeight="1" x14ac:dyDescent="0.2">
      <c r="A473" s="16"/>
      <c r="B473" s="212"/>
      <c r="AD473" s="19"/>
      <c r="AE473" s="20"/>
      <c r="AF473" s="21"/>
      <c r="AG473" s="19"/>
      <c r="AH473" s="20"/>
      <c r="AI473" s="22"/>
      <c r="AK473" s="23"/>
      <c r="AL473" s="24"/>
      <c r="AP473" s="16"/>
      <c r="AQ473" s="16"/>
      <c r="AR473" s="16"/>
      <c r="AS473" s="16"/>
      <c r="AT473" s="67"/>
      <c r="AU473" s="67"/>
      <c r="AV473" s="67"/>
      <c r="AW473" s="67"/>
      <c r="AY473" s="16"/>
      <c r="AZ473" s="16"/>
      <c r="BA473" s="16"/>
      <c r="BB473" s="16"/>
      <c r="BC473" s="67"/>
      <c r="BD473" s="125"/>
      <c r="BE473" s="67"/>
      <c r="BF473" s="67"/>
      <c r="BM473" s="16"/>
    </row>
    <row r="474" spans="1:65" ht="12.75" customHeight="1" x14ac:dyDescent="0.2">
      <c r="A474" s="16"/>
      <c r="B474" s="212"/>
      <c r="AD474" s="19"/>
      <c r="AE474" s="20"/>
      <c r="AF474" s="21"/>
      <c r="AG474" s="19"/>
      <c r="AH474" s="20"/>
      <c r="AI474" s="22"/>
      <c r="AK474" s="23"/>
      <c r="AL474" s="24"/>
      <c r="AP474" s="16"/>
      <c r="AQ474" s="16"/>
      <c r="AR474" s="16"/>
      <c r="AS474" s="16"/>
      <c r="AT474" s="67"/>
      <c r="AU474" s="67"/>
      <c r="AV474" s="67"/>
      <c r="AW474" s="67"/>
      <c r="AY474" s="16"/>
      <c r="AZ474" s="16"/>
      <c r="BA474" s="16"/>
      <c r="BB474" s="16"/>
      <c r="BC474" s="67"/>
      <c r="BD474" s="125"/>
      <c r="BE474" s="67"/>
      <c r="BF474" s="67"/>
      <c r="BM474" s="16"/>
    </row>
    <row r="475" spans="1:65" ht="12.75" customHeight="1" x14ac:dyDescent="0.2">
      <c r="A475" s="16"/>
      <c r="B475" s="212"/>
      <c r="AD475" s="19"/>
      <c r="AE475" s="20"/>
      <c r="AF475" s="21"/>
      <c r="AG475" s="19"/>
      <c r="AH475" s="20"/>
      <c r="AI475" s="22"/>
      <c r="AK475" s="23"/>
      <c r="AL475" s="24"/>
      <c r="AP475" s="16"/>
      <c r="AQ475" s="16"/>
      <c r="AR475" s="16"/>
      <c r="AS475" s="16"/>
      <c r="AT475" s="67"/>
      <c r="AU475" s="67"/>
      <c r="AV475" s="67"/>
      <c r="AW475" s="67"/>
      <c r="AY475" s="16"/>
      <c r="AZ475" s="16"/>
      <c r="BA475" s="16"/>
      <c r="BB475" s="16"/>
      <c r="BC475" s="67"/>
      <c r="BD475" s="125"/>
      <c r="BE475" s="67"/>
      <c r="BF475" s="67"/>
      <c r="BM475" s="16"/>
    </row>
    <row r="476" spans="1:65" ht="12.75" customHeight="1" x14ac:dyDescent="0.2">
      <c r="A476" s="16"/>
      <c r="B476" s="212"/>
      <c r="AD476" s="19"/>
      <c r="AE476" s="20"/>
      <c r="AF476" s="21"/>
      <c r="AG476" s="19"/>
      <c r="AH476" s="20"/>
      <c r="AI476" s="22"/>
      <c r="AK476" s="23"/>
      <c r="AL476" s="24"/>
      <c r="AP476" s="16"/>
      <c r="AQ476" s="16"/>
      <c r="AR476" s="16"/>
      <c r="AS476" s="16"/>
      <c r="AT476" s="67"/>
      <c r="AU476" s="67"/>
      <c r="AV476" s="67"/>
      <c r="AW476" s="67"/>
      <c r="AY476" s="16"/>
      <c r="AZ476" s="16"/>
      <c r="BA476" s="16"/>
      <c r="BB476" s="16"/>
      <c r="BC476" s="67"/>
      <c r="BD476" s="125"/>
      <c r="BE476" s="67"/>
      <c r="BF476" s="67"/>
      <c r="BM476" s="16"/>
    </row>
    <row r="477" spans="1:65" ht="12.75" customHeight="1" x14ac:dyDescent="0.2">
      <c r="A477" s="16"/>
      <c r="B477" s="212"/>
      <c r="AD477" s="19"/>
      <c r="AE477" s="20"/>
      <c r="AF477" s="21"/>
      <c r="AG477" s="19"/>
      <c r="AH477" s="20"/>
      <c r="AI477" s="22"/>
      <c r="AK477" s="23"/>
      <c r="AL477" s="24"/>
      <c r="AP477" s="16"/>
      <c r="AQ477" s="16"/>
      <c r="AR477" s="16"/>
      <c r="AS477" s="16"/>
      <c r="AT477" s="67"/>
      <c r="AU477" s="67"/>
      <c r="AV477" s="67"/>
      <c r="AW477" s="67"/>
      <c r="AY477" s="16"/>
      <c r="AZ477" s="16"/>
      <c r="BA477" s="16"/>
      <c r="BB477" s="16"/>
      <c r="BC477" s="67"/>
      <c r="BD477" s="125"/>
      <c r="BE477" s="67"/>
      <c r="BF477" s="67"/>
      <c r="BM477" s="16"/>
    </row>
    <row r="478" spans="1:65" ht="12.75" customHeight="1" x14ac:dyDescent="0.2">
      <c r="A478" s="16"/>
      <c r="B478" s="212"/>
      <c r="AD478" s="19"/>
      <c r="AE478" s="20"/>
      <c r="AF478" s="21"/>
      <c r="AG478" s="19"/>
      <c r="AH478" s="20"/>
      <c r="AI478" s="22"/>
      <c r="AK478" s="23"/>
      <c r="AL478" s="24"/>
      <c r="AP478" s="16"/>
      <c r="AQ478" s="16"/>
      <c r="AR478" s="16"/>
      <c r="AS478" s="16"/>
      <c r="AT478" s="67"/>
      <c r="AU478" s="67"/>
      <c r="AV478" s="67"/>
      <c r="AW478" s="67"/>
      <c r="AY478" s="16"/>
      <c r="AZ478" s="16"/>
      <c r="BA478" s="16"/>
      <c r="BB478" s="16"/>
      <c r="BC478" s="67"/>
      <c r="BD478" s="125"/>
      <c r="BE478" s="67"/>
      <c r="BF478" s="67"/>
      <c r="BM478" s="16"/>
    </row>
    <row r="479" spans="1:65" ht="12.75" customHeight="1" x14ac:dyDescent="0.2">
      <c r="A479" s="16"/>
      <c r="B479" s="212"/>
      <c r="AD479" s="19"/>
      <c r="AE479" s="20"/>
      <c r="AF479" s="21"/>
      <c r="AG479" s="19"/>
      <c r="AH479" s="20"/>
      <c r="AI479" s="22"/>
      <c r="AK479" s="23"/>
      <c r="AL479" s="24"/>
      <c r="AP479" s="16"/>
      <c r="AQ479" s="16"/>
      <c r="AR479" s="16"/>
      <c r="AS479" s="16"/>
      <c r="AT479" s="67"/>
      <c r="AU479" s="67"/>
      <c r="AV479" s="67"/>
      <c r="AW479" s="67"/>
      <c r="AY479" s="16"/>
      <c r="AZ479" s="16"/>
      <c r="BA479" s="16"/>
      <c r="BB479" s="16"/>
      <c r="BC479" s="67"/>
      <c r="BD479" s="125"/>
      <c r="BE479" s="67"/>
      <c r="BF479" s="67"/>
      <c r="BM479" s="16"/>
    </row>
    <row r="480" spans="1:65" ht="12.75" customHeight="1" x14ac:dyDescent="0.2">
      <c r="A480" s="16"/>
      <c r="B480" s="212"/>
      <c r="AD480" s="19"/>
      <c r="AE480" s="20"/>
      <c r="AF480" s="21"/>
      <c r="AG480" s="19"/>
      <c r="AH480" s="20"/>
      <c r="AI480" s="22"/>
      <c r="AK480" s="23"/>
      <c r="AL480" s="24"/>
      <c r="AP480" s="16"/>
      <c r="AQ480" s="16"/>
      <c r="AR480" s="16"/>
      <c r="AS480" s="16"/>
      <c r="AT480" s="67"/>
      <c r="AU480" s="67"/>
      <c r="AV480" s="67"/>
      <c r="AW480" s="67"/>
      <c r="AY480" s="16"/>
      <c r="AZ480" s="16"/>
      <c r="BA480" s="16"/>
      <c r="BB480" s="16"/>
      <c r="BC480" s="67"/>
      <c r="BD480" s="125"/>
      <c r="BE480" s="67"/>
      <c r="BF480" s="67"/>
      <c r="BM480" s="16"/>
    </row>
    <row r="481" spans="1:65" ht="12.75" customHeight="1" x14ac:dyDescent="0.2">
      <c r="A481" s="16"/>
      <c r="B481" s="212"/>
      <c r="AD481" s="19"/>
      <c r="AE481" s="20"/>
      <c r="AF481" s="21"/>
      <c r="AG481" s="19"/>
      <c r="AH481" s="20"/>
      <c r="AI481" s="22"/>
      <c r="AK481" s="23"/>
      <c r="AL481" s="24"/>
      <c r="AP481" s="16"/>
      <c r="AQ481" s="16"/>
      <c r="AR481" s="16"/>
      <c r="AS481" s="16"/>
      <c r="AT481" s="67"/>
      <c r="AU481" s="67"/>
      <c r="AV481" s="67"/>
      <c r="AW481" s="67"/>
      <c r="AY481" s="16"/>
      <c r="AZ481" s="16"/>
      <c r="BA481" s="16"/>
      <c r="BB481" s="16"/>
      <c r="BC481" s="67"/>
      <c r="BD481" s="125"/>
      <c r="BE481" s="67"/>
      <c r="BF481" s="67"/>
      <c r="BM481" s="16"/>
    </row>
    <row r="482" spans="1:65" ht="12.75" customHeight="1" x14ac:dyDescent="0.2">
      <c r="A482" s="16"/>
      <c r="B482" s="212"/>
      <c r="AD482" s="19"/>
      <c r="AE482" s="20"/>
      <c r="AF482" s="21"/>
      <c r="AG482" s="19"/>
      <c r="AH482" s="20"/>
      <c r="AI482" s="22"/>
      <c r="AK482" s="23"/>
      <c r="AL482" s="24"/>
      <c r="AP482" s="16"/>
      <c r="AQ482" s="16"/>
      <c r="AR482" s="16"/>
      <c r="AS482" s="16"/>
      <c r="AT482" s="67"/>
      <c r="AU482" s="67"/>
      <c r="AV482" s="67"/>
      <c r="AW482" s="67"/>
      <c r="AY482" s="16"/>
      <c r="AZ482" s="16"/>
      <c r="BA482" s="16"/>
      <c r="BB482" s="16"/>
      <c r="BC482" s="67"/>
      <c r="BD482" s="125"/>
      <c r="BE482" s="67"/>
      <c r="BF482" s="67"/>
      <c r="BM482" s="16"/>
    </row>
    <row r="483" spans="1:65" ht="12.75" customHeight="1" x14ac:dyDescent="0.2">
      <c r="A483" s="16"/>
      <c r="B483" s="212"/>
      <c r="AD483" s="19"/>
      <c r="AE483" s="20"/>
      <c r="AF483" s="21"/>
      <c r="AG483" s="19"/>
      <c r="AH483" s="20"/>
      <c r="AI483" s="22"/>
      <c r="AK483" s="23"/>
      <c r="AL483" s="24"/>
      <c r="AP483" s="16"/>
      <c r="AQ483" s="16"/>
      <c r="AR483" s="16"/>
      <c r="AS483" s="16"/>
      <c r="AT483" s="67"/>
      <c r="AU483" s="67"/>
      <c r="AV483" s="67"/>
      <c r="AW483" s="67"/>
      <c r="AY483" s="16"/>
      <c r="AZ483" s="16"/>
      <c r="BA483" s="16"/>
      <c r="BB483" s="16"/>
      <c r="BC483" s="67"/>
      <c r="BD483" s="125"/>
      <c r="BE483" s="67"/>
      <c r="BF483" s="67"/>
      <c r="BM483" s="16"/>
    </row>
    <row r="484" spans="1:65" ht="12.75" customHeight="1" x14ac:dyDescent="0.2">
      <c r="A484" s="16"/>
      <c r="B484" s="212"/>
      <c r="AD484" s="19"/>
      <c r="AE484" s="20"/>
      <c r="AF484" s="21"/>
      <c r="AG484" s="19"/>
      <c r="AH484" s="20"/>
      <c r="AI484" s="22"/>
      <c r="AK484" s="23"/>
      <c r="AL484" s="24"/>
      <c r="AP484" s="16"/>
      <c r="AQ484" s="16"/>
      <c r="AR484" s="16"/>
      <c r="AS484" s="16"/>
      <c r="AT484" s="67"/>
      <c r="AU484" s="67"/>
      <c r="AV484" s="67"/>
      <c r="AW484" s="67"/>
      <c r="AY484" s="16"/>
      <c r="AZ484" s="16"/>
      <c r="BA484" s="16"/>
      <c r="BB484" s="16"/>
      <c r="BC484" s="67"/>
      <c r="BD484" s="125"/>
      <c r="BE484" s="67"/>
      <c r="BF484" s="67"/>
      <c r="BM484" s="16"/>
    </row>
    <row r="485" spans="1:65" ht="12.75" customHeight="1" x14ac:dyDescent="0.2">
      <c r="A485" s="16"/>
      <c r="B485" s="212"/>
      <c r="AD485" s="19"/>
      <c r="AE485" s="20"/>
      <c r="AF485" s="21"/>
      <c r="AG485" s="19"/>
      <c r="AH485" s="20"/>
      <c r="AI485" s="22"/>
      <c r="AK485" s="23"/>
      <c r="AL485" s="24"/>
      <c r="AP485" s="16"/>
      <c r="AQ485" s="16"/>
      <c r="AR485" s="16"/>
      <c r="AS485" s="16"/>
      <c r="AT485" s="67"/>
      <c r="AU485" s="67"/>
      <c r="AV485" s="67"/>
      <c r="AW485" s="67"/>
      <c r="AY485" s="16"/>
      <c r="AZ485" s="16"/>
      <c r="BA485" s="16"/>
      <c r="BB485" s="16"/>
      <c r="BC485" s="67"/>
      <c r="BD485" s="125"/>
      <c r="BE485" s="67"/>
      <c r="BF485" s="67"/>
      <c r="BM485" s="16"/>
    </row>
    <row r="486" spans="1:65" ht="12.75" customHeight="1" x14ac:dyDescent="0.2">
      <c r="A486" s="16"/>
      <c r="B486" s="212"/>
      <c r="AD486" s="19"/>
      <c r="AE486" s="20"/>
      <c r="AF486" s="21"/>
      <c r="AG486" s="19"/>
      <c r="AH486" s="20"/>
      <c r="AI486" s="22"/>
      <c r="AK486" s="23"/>
      <c r="AL486" s="24"/>
      <c r="AP486" s="16"/>
      <c r="AQ486" s="16"/>
      <c r="AR486" s="16"/>
      <c r="AS486" s="16"/>
      <c r="AT486" s="67"/>
      <c r="AU486" s="67"/>
      <c r="AV486" s="67"/>
      <c r="AW486" s="67"/>
      <c r="AY486" s="16"/>
      <c r="AZ486" s="16"/>
      <c r="BA486" s="16"/>
      <c r="BB486" s="16"/>
      <c r="BC486" s="67"/>
      <c r="BD486" s="125"/>
      <c r="BE486" s="67"/>
      <c r="BF486" s="67"/>
      <c r="BM486" s="16"/>
    </row>
    <row r="487" spans="1:65" ht="12.75" customHeight="1" x14ac:dyDescent="0.2">
      <c r="A487" s="16"/>
      <c r="B487" s="212"/>
      <c r="AD487" s="19"/>
      <c r="AE487" s="20"/>
      <c r="AF487" s="21"/>
      <c r="AG487" s="19"/>
      <c r="AH487" s="20"/>
      <c r="AI487" s="22"/>
      <c r="AK487" s="23"/>
      <c r="AL487" s="24"/>
      <c r="AP487" s="16"/>
      <c r="AQ487" s="16"/>
      <c r="AR487" s="16"/>
      <c r="AS487" s="16"/>
      <c r="AT487" s="67"/>
      <c r="AU487" s="67"/>
      <c r="AV487" s="67"/>
      <c r="AW487" s="67"/>
      <c r="AY487" s="16"/>
      <c r="AZ487" s="16"/>
      <c r="BA487" s="16"/>
      <c r="BB487" s="16"/>
      <c r="BC487" s="67"/>
      <c r="BD487" s="125"/>
      <c r="BE487" s="67"/>
      <c r="BF487" s="67"/>
      <c r="BM487" s="16"/>
    </row>
    <row r="488" spans="1:65" ht="12.75" customHeight="1" x14ac:dyDescent="0.2">
      <c r="A488" s="16"/>
      <c r="B488" s="212"/>
      <c r="AD488" s="19"/>
      <c r="AE488" s="20"/>
      <c r="AF488" s="21"/>
      <c r="AG488" s="19"/>
      <c r="AH488" s="20"/>
      <c r="AI488" s="22"/>
      <c r="AK488" s="23"/>
      <c r="AL488" s="24"/>
      <c r="AP488" s="16"/>
      <c r="AQ488" s="16"/>
      <c r="AR488" s="16"/>
      <c r="AS488" s="16"/>
      <c r="AT488" s="67"/>
      <c r="AU488" s="67"/>
      <c r="AV488" s="67"/>
      <c r="AW488" s="67"/>
      <c r="AY488" s="16"/>
      <c r="AZ488" s="16"/>
      <c r="BA488" s="16"/>
      <c r="BB488" s="16"/>
      <c r="BC488" s="67"/>
      <c r="BD488" s="125"/>
      <c r="BE488" s="67"/>
      <c r="BF488" s="67"/>
      <c r="BM488" s="16"/>
    </row>
    <row r="489" spans="1:65" ht="12.75" customHeight="1" x14ac:dyDescent="0.2">
      <c r="A489" s="16"/>
      <c r="B489" s="212"/>
      <c r="AD489" s="19"/>
      <c r="AE489" s="20"/>
      <c r="AF489" s="21"/>
      <c r="AG489" s="19"/>
      <c r="AH489" s="20"/>
      <c r="AI489" s="22"/>
      <c r="AK489" s="23"/>
      <c r="AL489" s="24"/>
      <c r="AP489" s="16"/>
      <c r="AQ489" s="16"/>
      <c r="AR489" s="16"/>
      <c r="AS489" s="16"/>
      <c r="AT489" s="67"/>
      <c r="AU489" s="67"/>
      <c r="AV489" s="67"/>
      <c r="AW489" s="67"/>
      <c r="AY489" s="16"/>
      <c r="AZ489" s="16"/>
      <c r="BA489" s="16"/>
      <c r="BB489" s="16"/>
      <c r="BC489" s="67"/>
      <c r="BD489" s="125"/>
      <c r="BE489" s="67"/>
      <c r="BF489" s="67"/>
      <c r="BM489" s="16"/>
    </row>
    <row r="490" spans="1:65" ht="12.75" customHeight="1" x14ac:dyDescent="0.2">
      <c r="A490" s="16"/>
      <c r="B490" s="212"/>
      <c r="AD490" s="19"/>
      <c r="AE490" s="20"/>
      <c r="AF490" s="21"/>
      <c r="AG490" s="19"/>
      <c r="AH490" s="20"/>
      <c r="AI490" s="22"/>
      <c r="AK490" s="23"/>
      <c r="AL490" s="24"/>
      <c r="AP490" s="16"/>
      <c r="AQ490" s="16"/>
      <c r="AR490" s="16"/>
      <c r="AS490" s="16"/>
      <c r="AT490" s="67"/>
      <c r="AU490" s="67"/>
      <c r="AV490" s="67"/>
      <c r="AW490" s="67"/>
      <c r="AY490" s="16"/>
      <c r="AZ490" s="16"/>
      <c r="BA490" s="16"/>
      <c r="BB490" s="16"/>
      <c r="BC490" s="67"/>
      <c r="BD490" s="125"/>
      <c r="BE490" s="67"/>
      <c r="BF490" s="67"/>
      <c r="BM490" s="16"/>
    </row>
    <row r="491" spans="1:65" ht="12.75" customHeight="1" x14ac:dyDescent="0.2">
      <c r="A491" s="16"/>
      <c r="B491" s="212"/>
      <c r="AD491" s="19"/>
      <c r="AE491" s="20"/>
      <c r="AF491" s="21"/>
      <c r="AG491" s="19"/>
      <c r="AH491" s="20"/>
      <c r="AI491" s="22"/>
      <c r="AK491" s="23"/>
      <c r="AL491" s="24"/>
      <c r="AP491" s="16"/>
      <c r="AQ491" s="16"/>
      <c r="AR491" s="16"/>
      <c r="AS491" s="16"/>
      <c r="AT491" s="67"/>
      <c r="AU491" s="67"/>
      <c r="AV491" s="67"/>
      <c r="AW491" s="67"/>
      <c r="AY491" s="16"/>
      <c r="AZ491" s="16"/>
      <c r="BA491" s="16"/>
      <c r="BB491" s="16"/>
      <c r="BC491" s="67"/>
      <c r="BD491" s="125"/>
      <c r="BE491" s="67"/>
      <c r="BF491" s="67"/>
      <c r="BM491" s="16"/>
    </row>
    <row r="492" spans="1:65" ht="12.75" customHeight="1" x14ac:dyDescent="0.2">
      <c r="A492" s="16"/>
      <c r="B492" s="212"/>
      <c r="AD492" s="19"/>
      <c r="AE492" s="20"/>
      <c r="AF492" s="21"/>
      <c r="AG492" s="19"/>
      <c r="AH492" s="20"/>
      <c r="AI492" s="22"/>
      <c r="AK492" s="23"/>
      <c r="AL492" s="24"/>
      <c r="AP492" s="16"/>
      <c r="AQ492" s="16"/>
      <c r="AR492" s="16"/>
      <c r="AS492" s="16"/>
      <c r="AT492" s="67"/>
      <c r="AU492" s="67"/>
      <c r="AV492" s="67"/>
      <c r="AW492" s="67"/>
      <c r="AY492" s="16"/>
      <c r="AZ492" s="16"/>
      <c r="BA492" s="16"/>
      <c r="BB492" s="16"/>
      <c r="BC492" s="67"/>
      <c r="BD492" s="125"/>
      <c r="BE492" s="67"/>
      <c r="BF492" s="67"/>
      <c r="BM492" s="16"/>
    </row>
    <row r="493" spans="1:65" ht="12.75" customHeight="1" x14ac:dyDescent="0.2">
      <c r="A493" s="16"/>
      <c r="B493" s="212"/>
      <c r="AD493" s="19"/>
      <c r="AE493" s="20"/>
      <c r="AF493" s="21"/>
      <c r="AG493" s="19"/>
      <c r="AH493" s="20"/>
      <c r="AI493" s="22"/>
      <c r="AK493" s="23"/>
      <c r="AL493" s="24"/>
      <c r="AP493" s="16"/>
      <c r="AQ493" s="16"/>
      <c r="AR493" s="16"/>
      <c r="AS493" s="16"/>
      <c r="AT493" s="67"/>
      <c r="AU493" s="67"/>
      <c r="AV493" s="67"/>
      <c r="AW493" s="67"/>
      <c r="AY493" s="16"/>
      <c r="AZ493" s="16"/>
      <c r="BA493" s="16"/>
      <c r="BB493" s="16"/>
      <c r="BC493" s="67"/>
      <c r="BD493" s="125"/>
      <c r="BE493" s="67"/>
      <c r="BF493" s="67"/>
      <c r="BM493" s="16"/>
    </row>
    <row r="494" spans="1:65" ht="12.75" customHeight="1" x14ac:dyDescent="0.2">
      <c r="A494" s="16"/>
      <c r="B494" s="212"/>
      <c r="AD494" s="19"/>
      <c r="AE494" s="20"/>
      <c r="AF494" s="21"/>
      <c r="AG494" s="19"/>
      <c r="AH494" s="20"/>
      <c r="AI494" s="22"/>
      <c r="AK494" s="23"/>
      <c r="AL494" s="24"/>
      <c r="AP494" s="16"/>
      <c r="AQ494" s="16"/>
      <c r="AR494" s="16"/>
      <c r="AS494" s="16"/>
      <c r="AT494" s="67"/>
      <c r="AU494" s="67"/>
      <c r="AV494" s="67"/>
      <c r="AW494" s="67"/>
      <c r="AY494" s="16"/>
      <c r="AZ494" s="16"/>
      <c r="BA494" s="16"/>
      <c r="BB494" s="16"/>
      <c r="BC494" s="67"/>
      <c r="BD494" s="125"/>
      <c r="BE494" s="67"/>
      <c r="BF494" s="67"/>
      <c r="BM494" s="16"/>
    </row>
    <row r="495" spans="1:65" ht="12.75" customHeight="1" x14ac:dyDescent="0.2">
      <c r="A495" s="16"/>
      <c r="B495" s="212"/>
      <c r="AD495" s="19"/>
      <c r="AE495" s="20"/>
      <c r="AF495" s="21"/>
      <c r="AG495" s="19"/>
      <c r="AH495" s="20"/>
      <c r="AI495" s="22"/>
      <c r="AK495" s="23"/>
      <c r="AL495" s="24"/>
      <c r="AP495" s="16"/>
      <c r="AQ495" s="16"/>
      <c r="AR495" s="16"/>
      <c r="AS495" s="16"/>
      <c r="AT495" s="67"/>
      <c r="AU495" s="67"/>
      <c r="AV495" s="67"/>
      <c r="AW495" s="67"/>
      <c r="AY495" s="16"/>
      <c r="AZ495" s="16"/>
      <c r="BA495" s="16"/>
      <c r="BB495" s="16"/>
      <c r="BC495" s="67"/>
      <c r="BD495" s="125"/>
      <c r="BE495" s="67"/>
      <c r="BF495" s="67"/>
      <c r="BM495" s="16"/>
    </row>
    <row r="496" spans="1:65" ht="12.75" customHeight="1" x14ac:dyDescent="0.2">
      <c r="A496" s="16"/>
      <c r="B496" s="212"/>
      <c r="AD496" s="19"/>
      <c r="AE496" s="20"/>
      <c r="AF496" s="21"/>
      <c r="AG496" s="19"/>
      <c r="AH496" s="20"/>
      <c r="AI496" s="22"/>
      <c r="AK496" s="23"/>
      <c r="AL496" s="24"/>
      <c r="AP496" s="16"/>
      <c r="AQ496" s="16"/>
      <c r="AR496" s="16"/>
      <c r="AS496" s="16"/>
      <c r="AT496" s="67"/>
      <c r="AU496" s="67"/>
      <c r="AV496" s="67"/>
      <c r="AW496" s="67"/>
      <c r="AY496" s="16"/>
      <c r="AZ496" s="16"/>
      <c r="BA496" s="16"/>
      <c r="BB496" s="16"/>
      <c r="BC496" s="67"/>
      <c r="BD496" s="125"/>
      <c r="BE496" s="67"/>
      <c r="BF496" s="67"/>
      <c r="BM496" s="16"/>
    </row>
    <row r="497" spans="1:65" ht="12.75" customHeight="1" x14ac:dyDescent="0.2">
      <c r="A497" s="16"/>
      <c r="B497" s="212"/>
      <c r="AD497" s="19"/>
      <c r="AE497" s="20"/>
      <c r="AF497" s="21"/>
      <c r="AG497" s="19"/>
      <c r="AH497" s="20"/>
      <c r="AI497" s="22"/>
      <c r="AK497" s="23"/>
      <c r="AL497" s="24"/>
      <c r="AP497" s="16"/>
      <c r="AQ497" s="16"/>
      <c r="AR497" s="16"/>
      <c r="AS497" s="16"/>
      <c r="AT497" s="67"/>
      <c r="AU497" s="67"/>
      <c r="AV497" s="67"/>
      <c r="AW497" s="67"/>
      <c r="AY497" s="16"/>
      <c r="AZ497" s="16"/>
      <c r="BA497" s="16"/>
      <c r="BB497" s="16"/>
      <c r="BC497" s="67"/>
      <c r="BD497" s="125"/>
      <c r="BE497" s="67"/>
      <c r="BF497" s="67"/>
      <c r="BM497" s="16"/>
    </row>
    <row r="498" spans="1:65" ht="12.75" customHeight="1" x14ac:dyDescent="0.2">
      <c r="A498" s="16"/>
      <c r="B498" s="212"/>
      <c r="AD498" s="19"/>
      <c r="AE498" s="20"/>
      <c r="AF498" s="21"/>
      <c r="AG498" s="19"/>
      <c r="AH498" s="20"/>
      <c r="AI498" s="22"/>
      <c r="AK498" s="23"/>
      <c r="AL498" s="24"/>
      <c r="AP498" s="16"/>
      <c r="AQ498" s="16"/>
      <c r="AR498" s="16"/>
      <c r="AS498" s="16"/>
      <c r="AT498" s="67"/>
      <c r="AU498" s="67"/>
      <c r="AV498" s="67"/>
      <c r="AW498" s="67"/>
      <c r="AY498" s="16"/>
      <c r="AZ498" s="16"/>
      <c r="BA498" s="16"/>
      <c r="BB498" s="16"/>
      <c r="BC498" s="67"/>
      <c r="BD498" s="125"/>
      <c r="BE498" s="67"/>
      <c r="BF498" s="67"/>
      <c r="BM498" s="16"/>
    </row>
    <row r="499" spans="1:65" ht="12.75" customHeight="1" x14ac:dyDescent="0.2">
      <c r="A499" s="16"/>
      <c r="B499" s="212"/>
      <c r="AD499" s="19"/>
      <c r="AE499" s="20"/>
      <c r="AF499" s="21"/>
      <c r="AG499" s="19"/>
      <c r="AH499" s="20"/>
      <c r="AI499" s="22"/>
      <c r="AK499" s="23"/>
      <c r="AL499" s="24"/>
      <c r="AP499" s="16"/>
      <c r="AQ499" s="16"/>
      <c r="AR499" s="16"/>
      <c r="AS499" s="16"/>
      <c r="AT499" s="67"/>
      <c r="AU499" s="67"/>
      <c r="AV499" s="67"/>
      <c r="AW499" s="67"/>
      <c r="AY499" s="16"/>
      <c r="AZ499" s="16"/>
      <c r="BA499" s="16"/>
      <c r="BB499" s="16"/>
      <c r="BC499" s="67"/>
      <c r="BD499" s="125"/>
      <c r="BE499" s="67"/>
      <c r="BF499" s="67"/>
      <c r="BM499" s="16"/>
    </row>
    <row r="500" spans="1:65" ht="12.75" customHeight="1" x14ac:dyDescent="0.2">
      <c r="A500" s="16"/>
      <c r="B500" s="212"/>
      <c r="AD500" s="19"/>
      <c r="AE500" s="20"/>
      <c r="AF500" s="21"/>
      <c r="AG500" s="19"/>
      <c r="AH500" s="20"/>
      <c r="AI500" s="22"/>
      <c r="AK500" s="23"/>
      <c r="AL500" s="24"/>
      <c r="AP500" s="16"/>
      <c r="AQ500" s="16"/>
      <c r="AR500" s="16"/>
      <c r="AS500" s="16"/>
      <c r="AT500" s="67"/>
      <c r="AU500" s="67"/>
      <c r="AV500" s="67"/>
      <c r="AW500" s="67"/>
      <c r="AY500" s="16"/>
      <c r="AZ500" s="16"/>
      <c r="BA500" s="16"/>
      <c r="BB500" s="16"/>
      <c r="BC500" s="67"/>
      <c r="BD500" s="125"/>
      <c r="BE500" s="67"/>
      <c r="BF500" s="67"/>
      <c r="BM500" s="16"/>
    </row>
    <row r="501" spans="1:65" ht="12.75" customHeight="1" x14ac:dyDescent="0.2">
      <c r="A501" s="16"/>
      <c r="B501" s="212"/>
      <c r="AD501" s="19"/>
      <c r="AE501" s="20"/>
      <c r="AF501" s="21"/>
      <c r="AG501" s="19"/>
      <c r="AH501" s="20"/>
      <c r="AI501" s="22"/>
      <c r="AK501" s="23"/>
      <c r="AL501" s="24"/>
      <c r="AP501" s="16"/>
      <c r="AQ501" s="16"/>
      <c r="AR501" s="16"/>
      <c r="AS501" s="16"/>
      <c r="AT501" s="67"/>
      <c r="AU501" s="67"/>
      <c r="AV501" s="67"/>
      <c r="AW501" s="67"/>
      <c r="AY501" s="16"/>
      <c r="AZ501" s="16"/>
      <c r="BA501" s="16"/>
      <c r="BB501" s="16"/>
      <c r="BC501" s="67"/>
      <c r="BD501" s="125"/>
      <c r="BE501" s="67"/>
      <c r="BF501" s="67"/>
      <c r="BM501" s="16"/>
    </row>
    <row r="502" spans="1:65" ht="12.75" customHeight="1" x14ac:dyDescent="0.2">
      <c r="A502" s="16"/>
      <c r="B502" s="212"/>
      <c r="AD502" s="19"/>
      <c r="AE502" s="20"/>
      <c r="AF502" s="21"/>
      <c r="AG502" s="19"/>
      <c r="AH502" s="20"/>
      <c r="AI502" s="22"/>
      <c r="AK502" s="23"/>
      <c r="AL502" s="24"/>
      <c r="AP502" s="16"/>
      <c r="AQ502" s="16"/>
      <c r="AR502" s="16"/>
      <c r="AS502" s="16"/>
      <c r="AT502" s="67"/>
      <c r="AU502" s="67"/>
      <c r="AV502" s="67"/>
      <c r="AW502" s="67"/>
      <c r="AY502" s="16"/>
      <c r="AZ502" s="16"/>
      <c r="BA502" s="16"/>
      <c r="BB502" s="16"/>
      <c r="BC502" s="67"/>
      <c r="BD502" s="125"/>
      <c r="BE502" s="67"/>
      <c r="BF502" s="67"/>
      <c r="BM502" s="16"/>
    </row>
    <row r="503" spans="1:65" ht="12.75" customHeight="1" x14ac:dyDescent="0.2">
      <c r="A503" s="16"/>
      <c r="B503" s="212"/>
      <c r="AD503" s="19"/>
      <c r="AE503" s="20"/>
      <c r="AF503" s="21"/>
      <c r="AG503" s="19"/>
      <c r="AH503" s="20"/>
      <c r="AI503" s="22"/>
      <c r="AK503" s="23"/>
      <c r="AL503" s="24"/>
      <c r="AP503" s="16"/>
      <c r="AQ503" s="16"/>
      <c r="AR503" s="16"/>
      <c r="AS503" s="16"/>
      <c r="AT503" s="67"/>
      <c r="AU503" s="67"/>
      <c r="AV503" s="67"/>
      <c r="AW503" s="67"/>
      <c r="AY503" s="16"/>
      <c r="AZ503" s="16"/>
      <c r="BA503" s="16"/>
      <c r="BB503" s="16"/>
      <c r="BC503" s="67"/>
      <c r="BD503" s="125"/>
      <c r="BE503" s="67"/>
      <c r="BF503" s="67"/>
      <c r="BM503" s="16"/>
    </row>
    <row r="504" spans="1:65" ht="12.75" customHeight="1" x14ac:dyDescent="0.2">
      <c r="A504" s="16"/>
      <c r="B504" s="212"/>
      <c r="AD504" s="19"/>
      <c r="AE504" s="20"/>
      <c r="AF504" s="21"/>
      <c r="AG504" s="19"/>
      <c r="AH504" s="20"/>
      <c r="AI504" s="22"/>
      <c r="AK504" s="23"/>
      <c r="AL504" s="24"/>
      <c r="AP504" s="16"/>
      <c r="AQ504" s="16"/>
      <c r="AR504" s="16"/>
      <c r="AS504" s="16"/>
      <c r="AT504" s="67"/>
      <c r="AU504" s="67"/>
      <c r="AV504" s="67"/>
      <c r="AW504" s="67"/>
      <c r="AY504" s="16"/>
      <c r="AZ504" s="16"/>
      <c r="BA504" s="16"/>
      <c r="BB504" s="16"/>
      <c r="BC504" s="67"/>
      <c r="BD504" s="125"/>
      <c r="BE504" s="67"/>
      <c r="BF504" s="67"/>
      <c r="BM504" s="16"/>
    </row>
    <row r="505" spans="1:65" ht="12.75" customHeight="1" x14ac:dyDescent="0.2">
      <c r="A505" s="16"/>
      <c r="B505" s="212"/>
      <c r="AD505" s="19"/>
      <c r="AE505" s="20"/>
      <c r="AF505" s="21"/>
      <c r="AG505" s="19"/>
      <c r="AH505" s="20"/>
      <c r="AI505" s="22"/>
      <c r="AK505" s="23"/>
      <c r="AL505" s="24"/>
      <c r="AP505" s="16"/>
      <c r="AQ505" s="16"/>
      <c r="AR505" s="16"/>
      <c r="AS505" s="16"/>
      <c r="AT505" s="67"/>
      <c r="AU505" s="67"/>
      <c r="AV505" s="67"/>
      <c r="AW505" s="67"/>
      <c r="AY505" s="16"/>
      <c r="AZ505" s="16"/>
      <c r="BA505" s="16"/>
      <c r="BB505" s="16"/>
      <c r="BC505" s="67"/>
      <c r="BD505" s="125"/>
      <c r="BE505" s="67"/>
      <c r="BF505" s="67"/>
      <c r="BM505" s="16"/>
    </row>
    <row r="506" spans="1:65" ht="12.75" customHeight="1" x14ac:dyDescent="0.2">
      <c r="A506" s="16"/>
      <c r="B506" s="212"/>
      <c r="AD506" s="19"/>
      <c r="AE506" s="20"/>
      <c r="AF506" s="21"/>
      <c r="AG506" s="19"/>
      <c r="AH506" s="20"/>
      <c r="AI506" s="22"/>
      <c r="AK506" s="23"/>
      <c r="AL506" s="24"/>
      <c r="AP506" s="16"/>
      <c r="AQ506" s="16"/>
      <c r="AR506" s="16"/>
      <c r="AS506" s="16"/>
      <c r="AT506" s="67"/>
      <c r="AU506" s="67"/>
      <c r="AV506" s="67"/>
      <c r="AW506" s="67"/>
      <c r="AY506" s="16"/>
      <c r="AZ506" s="16"/>
      <c r="BA506" s="16"/>
      <c r="BB506" s="16"/>
      <c r="BC506" s="67"/>
      <c r="BD506" s="125"/>
      <c r="BE506" s="67"/>
      <c r="BF506" s="67"/>
      <c r="BM506" s="16"/>
    </row>
    <row r="507" spans="1:65" ht="12.75" customHeight="1" x14ac:dyDescent="0.2">
      <c r="A507" s="16"/>
      <c r="B507" s="212"/>
      <c r="AD507" s="19"/>
      <c r="AE507" s="20"/>
      <c r="AF507" s="21"/>
      <c r="AG507" s="19"/>
      <c r="AH507" s="20"/>
      <c r="AI507" s="22"/>
      <c r="AK507" s="23"/>
      <c r="AL507" s="24"/>
      <c r="AP507" s="16"/>
      <c r="AQ507" s="16"/>
      <c r="AR507" s="16"/>
      <c r="AS507" s="16"/>
      <c r="AT507" s="67"/>
      <c r="AU507" s="67"/>
      <c r="AV507" s="67"/>
      <c r="AW507" s="67"/>
      <c r="AY507" s="16"/>
      <c r="AZ507" s="16"/>
      <c r="BA507" s="16"/>
      <c r="BB507" s="16"/>
      <c r="BC507" s="67"/>
      <c r="BD507" s="125"/>
      <c r="BE507" s="67"/>
      <c r="BF507" s="67"/>
      <c r="BM507" s="16"/>
    </row>
    <row r="508" spans="1:65" ht="12.75" customHeight="1" x14ac:dyDescent="0.2">
      <c r="A508" s="16"/>
      <c r="B508" s="212"/>
      <c r="AD508" s="19"/>
      <c r="AE508" s="20"/>
      <c r="AF508" s="21"/>
      <c r="AG508" s="19"/>
      <c r="AH508" s="20"/>
      <c r="AI508" s="22"/>
      <c r="AK508" s="23"/>
      <c r="AL508" s="24"/>
      <c r="AP508" s="16"/>
      <c r="AQ508" s="16"/>
      <c r="AR508" s="16"/>
      <c r="AS508" s="16"/>
      <c r="AT508" s="67"/>
      <c r="AU508" s="67"/>
      <c r="AV508" s="67"/>
      <c r="AW508" s="67"/>
      <c r="AY508" s="16"/>
      <c r="AZ508" s="16"/>
      <c r="BA508" s="16"/>
      <c r="BB508" s="16"/>
      <c r="BC508" s="67"/>
      <c r="BD508" s="125"/>
      <c r="BE508" s="67"/>
      <c r="BF508" s="67"/>
      <c r="BM508" s="16"/>
    </row>
    <row r="509" spans="1:65" ht="12.75" customHeight="1" x14ac:dyDescent="0.2">
      <c r="A509" s="16"/>
      <c r="B509" s="212"/>
      <c r="AD509" s="19"/>
      <c r="AE509" s="20"/>
      <c r="AF509" s="21"/>
      <c r="AG509" s="19"/>
      <c r="AH509" s="20"/>
      <c r="AI509" s="22"/>
      <c r="AK509" s="23"/>
      <c r="AL509" s="24"/>
      <c r="AP509" s="16"/>
      <c r="AQ509" s="16"/>
      <c r="AR509" s="16"/>
      <c r="AS509" s="16"/>
      <c r="AT509" s="67"/>
      <c r="AU509" s="67"/>
      <c r="AV509" s="67"/>
      <c r="AW509" s="67"/>
      <c r="AY509" s="16"/>
      <c r="AZ509" s="16"/>
      <c r="BA509" s="16"/>
      <c r="BB509" s="16"/>
      <c r="BC509" s="67"/>
      <c r="BD509" s="125"/>
      <c r="BE509" s="67"/>
      <c r="BF509" s="67"/>
      <c r="BM509" s="16"/>
    </row>
    <row r="510" spans="1:65" ht="12.75" customHeight="1" x14ac:dyDescent="0.2">
      <c r="A510" s="16"/>
      <c r="B510" s="212"/>
      <c r="AD510" s="19"/>
      <c r="AE510" s="20"/>
      <c r="AF510" s="21"/>
      <c r="AG510" s="19"/>
      <c r="AH510" s="20"/>
      <c r="AI510" s="22"/>
      <c r="AK510" s="23"/>
      <c r="AL510" s="24"/>
      <c r="AP510" s="16"/>
      <c r="AQ510" s="16"/>
      <c r="AR510" s="16"/>
      <c r="AS510" s="16"/>
      <c r="AT510" s="67"/>
      <c r="AU510" s="67"/>
      <c r="AV510" s="67"/>
      <c r="AW510" s="67"/>
      <c r="AY510" s="16"/>
      <c r="AZ510" s="16"/>
      <c r="BA510" s="16"/>
      <c r="BB510" s="16"/>
      <c r="BC510" s="67"/>
      <c r="BD510" s="125"/>
      <c r="BE510" s="67"/>
      <c r="BF510" s="67"/>
      <c r="BM510" s="16"/>
    </row>
    <row r="511" spans="1:65" ht="12.75" customHeight="1" x14ac:dyDescent="0.2">
      <c r="A511" s="16"/>
      <c r="B511" s="212"/>
      <c r="AD511" s="19"/>
      <c r="AE511" s="20"/>
      <c r="AF511" s="21"/>
      <c r="AG511" s="19"/>
      <c r="AH511" s="20"/>
      <c r="AI511" s="22"/>
      <c r="AK511" s="23"/>
      <c r="AL511" s="24"/>
      <c r="AP511" s="16"/>
      <c r="AQ511" s="16"/>
      <c r="AR511" s="16"/>
      <c r="AS511" s="16"/>
      <c r="AT511" s="67"/>
      <c r="AU511" s="67"/>
      <c r="AV511" s="67"/>
      <c r="AW511" s="67"/>
      <c r="AY511" s="16"/>
      <c r="AZ511" s="16"/>
      <c r="BA511" s="16"/>
      <c r="BB511" s="16"/>
      <c r="BC511" s="67"/>
      <c r="BD511" s="125"/>
      <c r="BE511" s="67"/>
      <c r="BF511" s="67"/>
      <c r="BM511" s="16"/>
    </row>
    <row r="512" spans="1:65" ht="12.75" customHeight="1" x14ac:dyDescent="0.2">
      <c r="A512" s="16"/>
      <c r="B512" s="212"/>
      <c r="AD512" s="19"/>
      <c r="AE512" s="20"/>
      <c r="AF512" s="21"/>
      <c r="AG512" s="19"/>
      <c r="AH512" s="20"/>
      <c r="AI512" s="22"/>
      <c r="AK512" s="23"/>
      <c r="AL512" s="24"/>
      <c r="AP512" s="16"/>
      <c r="AQ512" s="16"/>
      <c r="AR512" s="16"/>
      <c r="AS512" s="16"/>
      <c r="AT512" s="67"/>
      <c r="AU512" s="67"/>
      <c r="AV512" s="67"/>
      <c r="AW512" s="67"/>
      <c r="AY512" s="16"/>
      <c r="AZ512" s="16"/>
      <c r="BA512" s="16"/>
      <c r="BB512" s="16"/>
      <c r="BC512" s="67"/>
      <c r="BD512" s="125"/>
      <c r="BE512" s="67"/>
      <c r="BF512" s="67"/>
      <c r="BM512" s="16"/>
    </row>
    <row r="513" spans="1:65" ht="12.75" customHeight="1" x14ac:dyDescent="0.2">
      <c r="A513" s="16"/>
      <c r="B513" s="212"/>
      <c r="AD513" s="19"/>
      <c r="AE513" s="20"/>
      <c r="AF513" s="21"/>
      <c r="AG513" s="19"/>
      <c r="AH513" s="20"/>
      <c r="AI513" s="22"/>
      <c r="AK513" s="23"/>
      <c r="AL513" s="24"/>
      <c r="AP513" s="16"/>
      <c r="AQ513" s="16"/>
      <c r="AR513" s="16"/>
      <c r="AS513" s="16"/>
      <c r="AT513" s="67"/>
      <c r="AU513" s="67"/>
      <c r="AV513" s="67"/>
      <c r="AW513" s="67"/>
      <c r="AY513" s="16"/>
      <c r="AZ513" s="16"/>
      <c r="BA513" s="16"/>
      <c r="BB513" s="16"/>
      <c r="BC513" s="67"/>
      <c r="BD513" s="125"/>
      <c r="BE513" s="67"/>
      <c r="BF513" s="67"/>
      <c r="BM513" s="16"/>
    </row>
    <row r="514" spans="1:65" ht="12.75" customHeight="1" x14ac:dyDescent="0.2">
      <c r="A514" s="16"/>
      <c r="B514" s="212"/>
      <c r="AD514" s="19"/>
      <c r="AE514" s="20"/>
      <c r="AF514" s="21"/>
      <c r="AG514" s="19"/>
      <c r="AH514" s="20"/>
      <c r="AI514" s="22"/>
      <c r="AK514" s="23"/>
      <c r="AL514" s="24"/>
      <c r="AP514" s="16"/>
      <c r="AQ514" s="16"/>
      <c r="AR514" s="16"/>
      <c r="AS514" s="16"/>
      <c r="AT514" s="67"/>
      <c r="AU514" s="67"/>
      <c r="AV514" s="67"/>
      <c r="AW514" s="67"/>
      <c r="AY514" s="16"/>
      <c r="AZ514" s="16"/>
      <c r="BA514" s="16"/>
      <c r="BB514" s="16"/>
      <c r="BC514" s="67"/>
      <c r="BD514" s="125"/>
      <c r="BE514" s="67"/>
      <c r="BF514" s="67"/>
      <c r="BM514" s="16"/>
    </row>
    <row r="515" spans="1:65" ht="12.75" customHeight="1" x14ac:dyDescent="0.2">
      <c r="A515" s="16"/>
      <c r="B515" s="212"/>
      <c r="AD515" s="19"/>
      <c r="AE515" s="20"/>
      <c r="AF515" s="21"/>
      <c r="AG515" s="19"/>
      <c r="AH515" s="20"/>
      <c r="AI515" s="22"/>
      <c r="AK515" s="23"/>
      <c r="AL515" s="24"/>
      <c r="AP515" s="16"/>
      <c r="AQ515" s="16"/>
      <c r="AR515" s="16"/>
      <c r="AS515" s="16"/>
      <c r="AT515" s="67"/>
      <c r="AU515" s="67"/>
      <c r="AV515" s="67"/>
      <c r="AW515" s="67"/>
      <c r="AY515" s="16"/>
      <c r="AZ515" s="16"/>
      <c r="BA515" s="16"/>
      <c r="BB515" s="16"/>
      <c r="BC515" s="67"/>
      <c r="BD515" s="125"/>
      <c r="BE515" s="67"/>
      <c r="BF515" s="67"/>
      <c r="BM515" s="16"/>
    </row>
    <row r="516" spans="1:65" ht="12.75" customHeight="1" x14ac:dyDescent="0.2">
      <c r="A516" s="16"/>
      <c r="B516" s="212"/>
      <c r="AD516" s="19"/>
      <c r="AE516" s="20"/>
      <c r="AF516" s="21"/>
      <c r="AG516" s="19"/>
      <c r="AH516" s="20"/>
      <c r="AI516" s="22"/>
      <c r="AK516" s="23"/>
      <c r="AL516" s="24"/>
      <c r="AP516" s="16"/>
      <c r="AQ516" s="16"/>
      <c r="AR516" s="16"/>
      <c r="AS516" s="16"/>
      <c r="AT516" s="67"/>
      <c r="AU516" s="67"/>
      <c r="AV516" s="67"/>
      <c r="AW516" s="67"/>
      <c r="AY516" s="16"/>
      <c r="AZ516" s="16"/>
      <c r="BA516" s="16"/>
      <c r="BB516" s="16"/>
      <c r="BC516" s="67"/>
      <c r="BD516" s="125"/>
      <c r="BE516" s="67"/>
      <c r="BF516" s="67"/>
      <c r="BM516" s="16"/>
    </row>
    <row r="517" spans="1:65" ht="12.75" customHeight="1" x14ac:dyDescent="0.2">
      <c r="A517" s="16"/>
      <c r="B517" s="212"/>
      <c r="AD517" s="19"/>
      <c r="AE517" s="20"/>
      <c r="AF517" s="21"/>
      <c r="AG517" s="19"/>
      <c r="AH517" s="20"/>
      <c r="AI517" s="22"/>
      <c r="AK517" s="23"/>
      <c r="AL517" s="24"/>
      <c r="AP517" s="16"/>
      <c r="AQ517" s="16"/>
      <c r="AR517" s="16"/>
      <c r="AS517" s="16"/>
      <c r="AT517" s="67"/>
      <c r="AU517" s="67"/>
      <c r="AV517" s="67"/>
      <c r="AW517" s="67"/>
      <c r="AY517" s="16"/>
      <c r="AZ517" s="16"/>
      <c r="BA517" s="16"/>
      <c r="BB517" s="16"/>
      <c r="BC517" s="67"/>
      <c r="BD517" s="125"/>
      <c r="BE517" s="67"/>
      <c r="BF517" s="67"/>
      <c r="BM517" s="16"/>
    </row>
    <row r="518" spans="1:65" ht="12.75" customHeight="1" x14ac:dyDescent="0.2">
      <c r="A518" s="16"/>
      <c r="B518" s="212"/>
      <c r="AD518" s="19"/>
      <c r="AE518" s="20"/>
      <c r="AF518" s="21"/>
      <c r="AG518" s="19"/>
      <c r="AH518" s="20"/>
      <c r="AI518" s="22"/>
      <c r="AK518" s="23"/>
      <c r="AL518" s="24"/>
      <c r="AP518" s="16"/>
      <c r="AQ518" s="16"/>
      <c r="AR518" s="16"/>
      <c r="AS518" s="16"/>
      <c r="AT518" s="67"/>
      <c r="AU518" s="67"/>
      <c r="AV518" s="67"/>
      <c r="AW518" s="67"/>
      <c r="AY518" s="16"/>
      <c r="AZ518" s="16"/>
      <c r="BA518" s="16"/>
      <c r="BB518" s="16"/>
      <c r="BC518" s="67"/>
      <c r="BD518" s="125"/>
      <c r="BE518" s="67"/>
      <c r="BF518" s="67"/>
      <c r="BM518" s="16"/>
    </row>
    <row r="519" spans="1:65" ht="12.75" customHeight="1" x14ac:dyDescent="0.2">
      <c r="A519" s="16"/>
      <c r="B519" s="212"/>
      <c r="AD519" s="19"/>
      <c r="AE519" s="20"/>
      <c r="AF519" s="21"/>
      <c r="AG519" s="19"/>
      <c r="AH519" s="20"/>
      <c r="AI519" s="22"/>
      <c r="AK519" s="23"/>
      <c r="AL519" s="24"/>
      <c r="AP519" s="16"/>
      <c r="AQ519" s="16"/>
      <c r="AR519" s="16"/>
      <c r="AS519" s="16"/>
      <c r="AT519" s="67"/>
      <c r="AU519" s="67"/>
      <c r="AV519" s="67"/>
      <c r="AW519" s="67"/>
      <c r="AY519" s="16"/>
      <c r="AZ519" s="16"/>
      <c r="BA519" s="16"/>
      <c r="BB519" s="16"/>
      <c r="BC519" s="67"/>
      <c r="BD519" s="125"/>
      <c r="BE519" s="67"/>
      <c r="BF519" s="67"/>
      <c r="BM519" s="16"/>
    </row>
    <row r="520" spans="1:65" ht="12.75" customHeight="1" x14ac:dyDescent="0.2">
      <c r="A520" s="16"/>
      <c r="B520" s="212"/>
      <c r="AD520" s="19"/>
      <c r="AE520" s="20"/>
      <c r="AF520" s="21"/>
      <c r="AG520" s="19"/>
      <c r="AH520" s="20"/>
      <c r="AI520" s="22"/>
      <c r="AK520" s="23"/>
      <c r="AL520" s="24"/>
      <c r="AP520" s="16"/>
      <c r="AQ520" s="16"/>
      <c r="AR520" s="16"/>
      <c r="AS520" s="16"/>
      <c r="AT520" s="67"/>
      <c r="AU520" s="67"/>
      <c r="AV520" s="67"/>
      <c r="AW520" s="67"/>
      <c r="AY520" s="16"/>
      <c r="AZ520" s="16"/>
      <c r="BA520" s="16"/>
      <c r="BB520" s="16"/>
      <c r="BC520" s="67"/>
      <c r="BD520" s="125"/>
      <c r="BE520" s="67"/>
      <c r="BF520" s="67"/>
      <c r="BM520" s="16"/>
    </row>
    <row r="521" spans="1:65" ht="12.75" customHeight="1" x14ac:dyDescent="0.2">
      <c r="A521" s="16"/>
      <c r="B521" s="212"/>
      <c r="AD521" s="19"/>
      <c r="AE521" s="20"/>
      <c r="AF521" s="21"/>
      <c r="AG521" s="19"/>
      <c r="AH521" s="20"/>
      <c r="AI521" s="22"/>
      <c r="AK521" s="23"/>
      <c r="AL521" s="24"/>
      <c r="AP521" s="16"/>
      <c r="AQ521" s="16"/>
      <c r="AR521" s="16"/>
      <c r="AS521" s="16"/>
      <c r="AT521" s="67"/>
      <c r="AU521" s="67"/>
      <c r="AV521" s="67"/>
      <c r="AW521" s="67"/>
      <c r="AY521" s="16"/>
      <c r="AZ521" s="16"/>
      <c r="BA521" s="16"/>
      <c r="BB521" s="16"/>
      <c r="BC521" s="67"/>
      <c r="BD521" s="125"/>
      <c r="BE521" s="67"/>
      <c r="BF521" s="67"/>
      <c r="BM521" s="16"/>
    </row>
    <row r="522" spans="1:65" ht="12.75" customHeight="1" x14ac:dyDescent="0.2">
      <c r="A522" s="16"/>
      <c r="B522" s="212"/>
      <c r="AD522" s="19"/>
      <c r="AE522" s="20"/>
      <c r="AF522" s="21"/>
      <c r="AG522" s="19"/>
      <c r="AH522" s="20"/>
      <c r="AI522" s="22"/>
      <c r="AK522" s="23"/>
      <c r="AL522" s="24"/>
      <c r="AP522" s="16"/>
      <c r="AQ522" s="16"/>
      <c r="AR522" s="16"/>
      <c r="AS522" s="16"/>
      <c r="AT522" s="67"/>
      <c r="AU522" s="67"/>
      <c r="AV522" s="67"/>
      <c r="AW522" s="67"/>
      <c r="AY522" s="16"/>
      <c r="AZ522" s="16"/>
      <c r="BA522" s="16"/>
      <c r="BB522" s="16"/>
      <c r="BC522" s="67"/>
      <c r="BD522" s="125"/>
      <c r="BE522" s="67"/>
      <c r="BF522" s="67"/>
      <c r="BM522" s="16"/>
    </row>
    <row r="523" spans="1:65" ht="12.75" customHeight="1" x14ac:dyDescent="0.2">
      <c r="A523" s="16"/>
      <c r="B523" s="212"/>
      <c r="AD523" s="19"/>
      <c r="AE523" s="20"/>
      <c r="AF523" s="21"/>
      <c r="AG523" s="19"/>
      <c r="AH523" s="20"/>
      <c r="AI523" s="22"/>
      <c r="AK523" s="23"/>
      <c r="AL523" s="24"/>
      <c r="AP523" s="16"/>
      <c r="AQ523" s="16"/>
      <c r="AR523" s="16"/>
      <c r="AS523" s="16"/>
      <c r="AT523" s="67"/>
      <c r="AU523" s="67"/>
      <c r="AV523" s="67"/>
      <c r="AW523" s="67"/>
      <c r="AY523" s="16"/>
      <c r="AZ523" s="16"/>
      <c r="BA523" s="16"/>
      <c r="BB523" s="16"/>
      <c r="BC523" s="67"/>
      <c r="BD523" s="125"/>
      <c r="BE523" s="67"/>
      <c r="BF523" s="67"/>
      <c r="BM523" s="16"/>
    </row>
    <row r="524" spans="1:65" ht="12.75" customHeight="1" x14ac:dyDescent="0.2">
      <c r="A524" s="16"/>
      <c r="B524" s="212"/>
      <c r="AD524" s="19"/>
      <c r="AE524" s="20"/>
      <c r="AF524" s="21"/>
      <c r="AG524" s="19"/>
      <c r="AH524" s="20"/>
      <c r="AI524" s="22"/>
      <c r="AK524" s="23"/>
      <c r="AL524" s="24"/>
      <c r="AP524" s="16"/>
      <c r="AQ524" s="16"/>
      <c r="AR524" s="16"/>
      <c r="AS524" s="16"/>
      <c r="AT524" s="67"/>
      <c r="AU524" s="67"/>
      <c r="AV524" s="67"/>
      <c r="AW524" s="67"/>
      <c r="AY524" s="16"/>
      <c r="AZ524" s="16"/>
      <c r="BA524" s="16"/>
      <c r="BB524" s="16"/>
      <c r="BC524" s="67"/>
      <c r="BD524" s="125"/>
      <c r="BE524" s="67"/>
      <c r="BF524" s="67"/>
      <c r="BM524" s="16"/>
    </row>
    <row r="525" spans="1:65" ht="12.75" customHeight="1" x14ac:dyDescent="0.2">
      <c r="A525" s="16"/>
      <c r="B525" s="212"/>
      <c r="AD525" s="19"/>
      <c r="AE525" s="20"/>
      <c r="AF525" s="21"/>
      <c r="AG525" s="19"/>
      <c r="AH525" s="20"/>
      <c r="AI525" s="22"/>
      <c r="AK525" s="23"/>
      <c r="AL525" s="24"/>
      <c r="AP525" s="16"/>
      <c r="AQ525" s="16"/>
      <c r="AR525" s="16"/>
      <c r="AS525" s="16"/>
      <c r="AT525" s="67"/>
      <c r="AU525" s="67"/>
      <c r="AV525" s="67"/>
      <c r="AW525" s="67"/>
      <c r="AY525" s="16"/>
      <c r="AZ525" s="16"/>
      <c r="BA525" s="16"/>
      <c r="BB525" s="16"/>
      <c r="BC525" s="67"/>
      <c r="BD525" s="125"/>
      <c r="BE525" s="67"/>
      <c r="BF525" s="67"/>
      <c r="BM525" s="16"/>
    </row>
    <row r="526" spans="1:65" ht="12.75" customHeight="1" x14ac:dyDescent="0.2">
      <c r="A526" s="16"/>
      <c r="B526" s="212"/>
      <c r="AD526" s="19"/>
      <c r="AE526" s="20"/>
      <c r="AF526" s="21"/>
      <c r="AG526" s="19"/>
      <c r="AH526" s="20"/>
      <c r="AI526" s="22"/>
      <c r="AK526" s="23"/>
      <c r="AL526" s="24"/>
      <c r="AP526" s="16"/>
      <c r="AQ526" s="16"/>
      <c r="AR526" s="16"/>
      <c r="AS526" s="16"/>
      <c r="AT526" s="67"/>
      <c r="AU526" s="67"/>
      <c r="AV526" s="67"/>
      <c r="AW526" s="67"/>
      <c r="AY526" s="16"/>
      <c r="AZ526" s="16"/>
      <c r="BA526" s="16"/>
      <c r="BB526" s="16"/>
      <c r="BC526" s="67"/>
      <c r="BD526" s="125"/>
      <c r="BE526" s="67"/>
      <c r="BF526" s="67"/>
      <c r="BM526" s="16"/>
    </row>
    <row r="527" spans="1:65" ht="12.75" customHeight="1" x14ac:dyDescent="0.2">
      <c r="A527" s="16"/>
      <c r="B527" s="212"/>
      <c r="AD527" s="19"/>
      <c r="AE527" s="20"/>
      <c r="AF527" s="21"/>
      <c r="AG527" s="19"/>
      <c r="AH527" s="20"/>
      <c r="AI527" s="22"/>
      <c r="AK527" s="23"/>
      <c r="AL527" s="24"/>
      <c r="AP527" s="16"/>
      <c r="AQ527" s="16"/>
      <c r="AR527" s="16"/>
      <c r="AS527" s="16"/>
      <c r="AT527" s="67"/>
      <c r="AU527" s="67"/>
      <c r="AV527" s="67"/>
      <c r="AW527" s="67"/>
      <c r="AY527" s="16"/>
      <c r="AZ527" s="16"/>
      <c r="BA527" s="16"/>
      <c r="BB527" s="16"/>
      <c r="BC527" s="67"/>
      <c r="BD527" s="125"/>
      <c r="BE527" s="67"/>
      <c r="BF527" s="67"/>
      <c r="BM527" s="16"/>
    </row>
    <row r="528" spans="1:65" ht="12.75" customHeight="1" x14ac:dyDescent="0.2">
      <c r="A528" s="16"/>
      <c r="B528" s="212"/>
      <c r="AD528" s="19"/>
      <c r="AE528" s="20"/>
      <c r="AF528" s="21"/>
      <c r="AG528" s="19"/>
      <c r="AH528" s="20"/>
      <c r="AI528" s="22"/>
      <c r="AK528" s="23"/>
      <c r="AL528" s="24"/>
      <c r="AP528" s="16"/>
      <c r="AQ528" s="16"/>
      <c r="AR528" s="16"/>
      <c r="AS528" s="16"/>
      <c r="AT528" s="67"/>
      <c r="AU528" s="67"/>
      <c r="AV528" s="67"/>
      <c r="AW528" s="67"/>
      <c r="AY528" s="16"/>
      <c r="AZ528" s="16"/>
      <c r="BA528" s="16"/>
      <c r="BB528" s="16"/>
      <c r="BC528" s="67"/>
      <c r="BD528" s="125"/>
      <c r="BE528" s="67"/>
      <c r="BF528" s="67"/>
      <c r="BM528" s="16"/>
    </row>
    <row r="529" spans="1:65" ht="12.75" customHeight="1" x14ac:dyDescent="0.2">
      <c r="A529" s="16"/>
      <c r="B529" s="212"/>
      <c r="AD529" s="19"/>
      <c r="AE529" s="20"/>
      <c r="AF529" s="21"/>
      <c r="AG529" s="19"/>
      <c r="AH529" s="20"/>
      <c r="AI529" s="22"/>
      <c r="AK529" s="23"/>
      <c r="AL529" s="24"/>
      <c r="AP529" s="16"/>
      <c r="AQ529" s="16"/>
      <c r="AR529" s="16"/>
      <c r="AS529" s="16"/>
      <c r="AT529" s="67"/>
      <c r="AU529" s="67"/>
      <c r="AV529" s="67"/>
      <c r="AW529" s="67"/>
      <c r="AY529" s="16"/>
      <c r="AZ529" s="16"/>
      <c r="BA529" s="16"/>
      <c r="BB529" s="16"/>
      <c r="BC529" s="67"/>
      <c r="BD529" s="125"/>
      <c r="BE529" s="67"/>
      <c r="BF529" s="67"/>
      <c r="BM529" s="16"/>
    </row>
    <row r="530" spans="1:65" ht="12.75" customHeight="1" x14ac:dyDescent="0.2">
      <c r="A530" s="16"/>
      <c r="B530" s="212"/>
      <c r="AD530" s="19"/>
      <c r="AE530" s="20"/>
      <c r="AF530" s="21"/>
      <c r="AG530" s="19"/>
      <c r="AH530" s="20"/>
      <c r="AI530" s="22"/>
      <c r="AK530" s="23"/>
      <c r="AL530" s="24"/>
      <c r="AP530" s="16"/>
      <c r="AQ530" s="16"/>
      <c r="AR530" s="16"/>
      <c r="AS530" s="16"/>
      <c r="AT530" s="67"/>
      <c r="AU530" s="67"/>
      <c r="AV530" s="67"/>
      <c r="AW530" s="67"/>
      <c r="AY530" s="16"/>
      <c r="AZ530" s="16"/>
      <c r="BA530" s="16"/>
      <c r="BB530" s="16"/>
      <c r="BC530" s="67"/>
      <c r="BD530" s="125"/>
      <c r="BE530" s="67"/>
      <c r="BF530" s="67"/>
      <c r="BM530" s="16"/>
    </row>
    <row r="531" spans="1:65" ht="12.75" customHeight="1" x14ac:dyDescent="0.2">
      <c r="A531" s="16"/>
      <c r="B531" s="212"/>
      <c r="AD531" s="19"/>
      <c r="AE531" s="20"/>
      <c r="AF531" s="21"/>
      <c r="AG531" s="19"/>
      <c r="AH531" s="20"/>
      <c r="AI531" s="22"/>
      <c r="AK531" s="23"/>
      <c r="AL531" s="24"/>
      <c r="AP531" s="16"/>
      <c r="AQ531" s="16"/>
      <c r="AR531" s="16"/>
      <c r="AS531" s="16"/>
      <c r="AT531" s="67"/>
      <c r="AU531" s="67"/>
      <c r="AV531" s="67"/>
      <c r="AW531" s="67"/>
      <c r="AY531" s="16"/>
      <c r="AZ531" s="16"/>
      <c r="BA531" s="16"/>
      <c r="BB531" s="16"/>
      <c r="BC531" s="67"/>
      <c r="BD531" s="125"/>
      <c r="BE531" s="67"/>
      <c r="BF531" s="67"/>
      <c r="BM531" s="16"/>
    </row>
    <row r="532" spans="1:65" ht="12.75" customHeight="1" x14ac:dyDescent="0.2">
      <c r="A532" s="16"/>
      <c r="B532" s="212"/>
      <c r="AD532" s="19"/>
      <c r="AE532" s="20"/>
      <c r="AF532" s="21"/>
      <c r="AG532" s="19"/>
      <c r="AH532" s="20"/>
      <c r="AI532" s="22"/>
      <c r="AK532" s="23"/>
      <c r="AL532" s="24"/>
      <c r="AP532" s="16"/>
      <c r="AQ532" s="16"/>
      <c r="AR532" s="16"/>
      <c r="AS532" s="16"/>
      <c r="AT532" s="67"/>
      <c r="AU532" s="67"/>
      <c r="AV532" s="67"/>
      <c r="AW532" s="67"/>
      <c r="AY532" s="16"/>
      <c r="AZ532" s="16"/>
      <c r="BA532" s="16"/>
      <c r="BB532" s="16"/>
      <c r="BC532" s="67"/>
      <c r="BD532" s="125"/>
      <c r="BE532" s="67"/>
      <c r="BF532" s="67"/>
      <c r="BM532" s="16"/>
    </row>
    <row r="533" spans="1:65" ht="12.75" customHeight="1" x14ac:dyDescent="0.2">
      <c r="A533" s="16"/>
      <c r="B533" s="212"/>
      <c r="AD533" s="19"/>
      <c r="AE533" s="20"/>
      <c r="AF533" s="21"/>
      <c r="AG533" s="19"/>
      <c r="AH533" s="20"/>
      <c r="AI533" s="22"/>
      <c r="AK533" s="23"/>
      <c r="AL533" s="24"/>
      <c r="AP533" s="16"/>
      <c r="AQ533" s="16"/>
      <c r="AR533" s="16"/>
      <c r="AS533" s="16"/>
      <c r="AT533" s="67"/>
      <c r="AU533" s="67"/>
      <c r="AV533" s="67"/>
      <c r="AW533" s="67"/>
      <c r="AY533" s="16"/>
      <c r="AZ533" s="16"/>
      <c r="BA533" s="16"/>
      <c r="BB533" s="16"/>
      <c r="BC533" s="67"/>
      <c r="BD533" s="125"/>
      <c r="BE533" s="67"/>
      <c r="BF533" s="67"/>
      <c r="BM533" s="16"/>
    </row>
    <row r="534" spans="1:65" ht="12.75" customHeight="1" x14ac:dyDescent="0.2">
      <c r="A534" s="16"/>
      <c r="B534" s="212"/>
      <c r="AD534" s="19"/>
      <c r="AE534" s="20"/>
      <c r="AF534" s="21"/>
      <c r="AG534" s="19"/>
      <c r="AH534" s="20"/>
      <c r="AI534" s="22"/>
      <c r="AK534" s="23"/>
      <c r="AL534" s="24"/>
      <c r="AP534" s="16"/>
      <c r="AQ534" s="16"/>
      <c r="AR534" s="16"/>
      <c r="AS534" s="16"/>
      <c r="AT534" s="67"/>
      <c r="AU534" s="67"/>
      <c r="AV534" s="67"/>
      <c r="AW534" s="67"/>
      <c r="AY534" s="16"/>
      <c r="AZ534" s="16"/>
      <c r="BA534" s="16"/>
      <c r="BB534" s="16"/>
      <c r="BC534" s="67"/>
      <c r="BD534" s="125"/>
      <c r="BE534" s="67"/>
      <c r="BF534" s="67"/>
      <c r="BM534" s="16"/>
    </row>
    <row r="535" spans="1:65" ht="12.75" customHeight="1" x14ac:dyDescent="0.2">
      <c r="A535" s="16"/>
      <c r="B535" s="212"/>
      <c r="AD535" s="19"/>
      <c r="AE535" s="20"/>
      <c r="AF535" s="21"/>
      <c r="AG535" s="19"/>
      <c r="AH535" s="20"/>
      <c r="AI535" s="22"/>
      <c r="AK535" s="23"/>
      <c r="AL535" s="24"/>
      <c r="AP535" s="16"/>
      <c r="AQ535" s="16"/>
      <c r="AR535" s="16"/>
      <c r="AS535" s="16"/>
      <c r="AT535" s="67"/>
      <c r="AU535" s="67"/>
      <c r="AV535" s="67"/>
      <c r="AW535" s="67"/>
      <c r="AY535" s="16"/>
      <c r="AZ535" s="16"/>
      <c r="BA535" s="16"/>
      <c r="BB535" s="16"/>
      <c r="BC535" s="67"/>
      <c r="BD535" s="125"/>
      <c r="BE535" s="67"/>
      <c r="BF535" s="67"/>
      <c r="BM535" s="16"/>
    </row>
    <row r="536" spans="1:65" ht="12.75" customHeight="1" x14ac:dyDescent="0.2">
      <c r="A536" s="16"/>
      <c r="B536" s="212"/>
      <c r="AD536" s="19"/>
      <c r="AE536" s="20"/>
      <c r="AF536" s="21"/>
      <c r="AG536" s="19"/>
      <c r="AH536" s="20"/>
      <c r="AI536" s="22"/>
      <c r="AK536" s="23"/>
      <c r="AL536" s="24"/>
      <c r="AP536" s="16"/>
      <c r="AQ536" s="16"/>
      <c r="AR536" s="16"/>
      <c r="AS536" s="16"/>
      <c r="AT536" s="67"/>
      <c r="AU536" s="67"/>
      <c r="AV536" s="67"/>
      <c r="AW536" s="67"/>
      <c r="AY536" s="16"/>
      <c r="AZ536" s="16"/>
      <c r="BA536" s="16"/>
      <c r="BB536" s="16"/>
      <c r="BC536" s="67"/>
      <c r="BD536" s="125"/>
      <c r="BE536" s="67"/>
      <c r="BF536" s="67"/>
      <c r="BM536" s="16"/>
    </row>
    <row r="537" spans="1:65" ht="12.75" customHeight="1" x14ac:dyDescent="0.2">
      <c r="A537" s="16"/>
      <c r="B537" s="212"/>
      <c r="AD537" s="19"/>
      <c r="AE537" s="20"/>
      <c r="AF537" s="21"/>
      <c r="AG537" s="19"/>
      <c r="AH537" s="20"/>
      <c r="AI537" s="22"/>
      <c r="AK537" s="23"/>
      <c r="AL537" s="24"/>
      <c r="AP537" s="16"/>
      <c r="AQ537" s="16"/>
      <c r="AR537" s="16"/>
      <c r="AS537" s="16"/>
      <c r="AT537" s="67"/>
      <c r="AU537" s="67"/>
      <c r="AV537" s="67"/>
      <c r="AW537" s="67"/>
      <c r="AY537" s="16"/>
      <c r="AZ537" s="16"/>
      <c r="BA537" s="16"/>
      <c r="BB537" s="16"/>
      <c r="BC537" s="67"/>
      <c r="BD537" s="125"/>
      <c r="BE537" s="67"/>
      <c r="BF537" s="67"/>
      <c r="BM537" s="16"/>
    </row>
    <row r="538" spans="1:65" ht="12.75" customHeight="1" x14ac:dyDescent="0.2">
      <c r="A538" s="16"/>
      <c r="B538" s="212"/>
      <c r="AD538" s="19"/>
      <c r="AE538" s="20"/>
      <c r="AF538" s="21"/>
      <c r="AG538" s="19"/>
      <c r="AH538" s="20"/>
      <c r="AI538" s="22"/>
      <c r="AK538" s="23"/>
      <c r="AL538" s="24"/>
      <c r="AP538" s="16"/>
      <c r="AQ538" s="16"/>
      <c r="AR538" s="16"/>
      <c r="AS538" s="16"/>
      <c r="AT538" s="67"/>
      <c r="AU538" s="67"/>
      <c r="AV538" s="67"/>
      <c r="AW538" s="67"/>
      <c r="AY538" s="16"/>
      <c r="AZ538" s="16"/>
      <c r="BA538" s="16"/>
      <c r="BB538" s="16"/>
      <c r="BC538" s="67"/>
      <c r="BD538" s="125"/>
      <c r="BE538" s="67"/>
      <c r="BF538" s="67"/>
      <c r="BM538" s="16"/>
    </row>
    <row r="539" spans="1:65" ht="12.75" customHeight="1" x14ac:dyDescent="0.2">
      <c r="A539" s="16"/>
      <c r="B539" s="212"/>
      <c r="AD539" s="19"/>
      <c r="AE539" s="20"/>
      <c r="AF539" s="21"/>
      <c r="AG539" s="19"/>
      <c r="AH539" s="20"/>
      <c r="AI539" s="22"/>
      <c r="AK539" s="23"/>
      <c r="AL539" s="24"/>
      <c r="AP539" s="16"/>
      <c r="AQ539" s="16"/>
      <c r="AR539" s="16"/>
      <c r="AS539" s="16"/>
      <c r="AT539" s="67"/>
      <c r="AU539" s="67"/>
      <c r="AV539" s="67"/>
      <c r="AW539" s="67"/>
      <c r="AY539" s="16"/>
      <c r="AZ539" s="16"/>
      <c r="BA539" s="16"/>
      <c r="BB539" s="16"/>
      <c r="BC539" s="67"/>
      <c r="BD539" s="125"/>
      <c r="BE539" s="67"/>
      <c r="BF539" s="67"/>
      <c r="BM539" s="16"/>
    </row>
    <row r="540" spans="1:65" ht="12.75" customHeight="1" x14ac:dyDescent="0.2">
      <c r="A540" s="16"/>
      <c r="B540" s="212"/>
      <c r="AD540" s="19"/>
      <c r="AE540" s="20"/>
      <c r="AF540" s="21"/>
      <c r="AG540" s="19"/>
      <c r="AH540" s="20"/>
      <c r="AI540" s="22"/>
      <c r="AK540" s="23"/>
      <c r="AL540" s="24"/>
      <c r="AP540" s="16"/>
      <c r="AQ540" s="16"/>
      <c r="AR540" s="16"/>
      <c r="AS540" s="16"/>
      <c r="AT540" s="67"/>
      <c r="AU540" s="67"/>
      <c r="AV540" s="67"/>
      <c r="AW540" s="67"/>
      <c r="AY540" s="16"/>
      <c r="AZ540" s="16"/>
      <c r="BA540" s="16"/>
      <c r="BB540" s="16"/>
      <c r="BC540" s="67"/>
      <c r="BD540" s="125"/>
      <c r="BE540" s="67"/>
      <c r="BF540" s="67"/>
      <c r="BM540" s="16"/>
    </row>
    <row r="541" spans="1:65" ht="12.75" customHeight="1" x14ac:dyDescent="0.2">
      <c r="A541" s="16"/>
      <c r="B541" s="212"/>
      <c r="AD541" s="19"/>
      <c r="AE541" s="20"/>
      <c r="AF541" s="21"/>
      <c r="AG541" s="19"/>
      <c r="AH541" s="20"/>
      <c r="AI541" s="22"/>
      <c r="AK541" s="23"/>
      <c r="AL541" s="24"/>
      <c r="AP541" s="16"/>
      <c r="AQ541" s="16"/>
      <c r="AR541" s="16"/>
      <c r="AS541" s="16"/>
      <c r="AT541" s="67"/>
      <c r="AU541" s="67"/>
      <c r="AV541" s="67"/>
      <c r="AW541" s="67"/>
      <c r="AY541" s="16"/>
      <c r="AZ541" s="16"/>
      <c r="BA541" s="16"/>
      <c r="BB541" s="16"/>
      <c r="BC541" s="67"/>
      <c r="BD541" s="125"/>
      <c r="BE541" s="67"/>
      <c r="BF541" s="67"/>
      <c r="BM541" s="16"/>
    </row>
    <row r="542" spans="1:65" ht="12.75" customHeight="1" x14ac:dyDescent="0.2">
      <c r="A542" s="16"/>
      <c r="B542" s="212"/>
      <c r="AD542" s="19"/>
      <c r="AE542" s="20"/>
      <c r="AF542" s="21"/>
      <c r="AG542" s="19"/>
      <c r="AH542" s="20"/>
      <c r="AI542" s="22"/>
      <c r="AK542" s="23"/>
      <c r="AL542" s="24"/>
      <c r="AP542" s="16"/>
      <c r="AQ542" s="16"/>
      <c r="AR542" s="16"/>
      <c r="AS542" s="16"/>
      <c r="AT542" s="67"/>
      <c r="AU542" s="67"/>
      <c r="AV542" s="67"/>
      <c r="AW542" s="67"/>
      <c r="AY542" s="16"/>
      <c r="AZ542" s="16"/>
      <c r="BA542" s="16"/>
      <c r="BB542" s="16"/>
      <c r="BC542" s="67"/>
      <c r="BD542" s="125"/>
      <c r="BE542" s="67"/>
      <c r="BF542" s="67"/>
      <c r="BM542" s="16"/>
    </row>
    <row r="543" spans="1:65" ht="12.75" customHeight="1" x14ac:dyDescent="0.2">
      <c r="A543" s="16"/>
      <c r="B543" s="212"/>
      <c r="AD543" s="19"/>
      <c r="AE543" s="20"/>
      <c r="AF543" s="21"/>
      <c r="AG543" s="19"/>
      <c r="AH543" s="20"/>
      <c r="AI543" s="22"/>
      <c r="AK543" s="23"/>
      <c r="AL543" s="24"/>
      <c r="AP543" s="16"/>
      <c r="AQ543" s="16"/>
      <c r="AR543" s="16"/>
      <c r="AS543" s="16"/>
      <c r="AT543" s="67"/>
      <c r="AU543" s="67"/>
      <c r="AV543" s="67"/>
      <c r="AW543" s="67"/>
      <c r="AY543" s="16"/>
      <c r="AZ543" s="16"/>
      <c r="BA543" s="16"/>
      <c r="BB543" s="16"/>
      <c r="BC543" s="67"/>
      <c r="BD543" s="125"/>
      <c r="BE543" s="67"/>
      <c r="BF543" s="67"/>
      <c r="BM543" s="16"/>
    </row>
    <row r="544" spans="1:65" ht="12.75" customHeight="1" x14ac:dyDescent="0.2">
      <c r="A544" s="16"/>
      <c r="B544" s="212"/>
      <c r="AD544" s="19"/>
      <c r="AE544" s="20"/>
      <c r="AF544" s="21"/>
      <c r="AG544" s="19"/>
      <c r="AH544" s="20"/>
      <c r="AI544" s="22"/>
      <c r="AK544" s="23"/>
      <c r="AL544" s="24"/>
      <c r="AP544" s="16"/>
      <c r="AQ544" s="16"/>
      <c r="AR544" s="16"/>
      <c r="AS544" s="16"/>
      <c r="AT544" s="67"/>
      <c r="AU544" s="67"/>
      <c r="AV544" s="67"/>
      <c r="AW544" s="67"/>
      <c r="AY544" s="16"/>
      <c r="AZ544" s="16"/>
      <c r="BA544" s="16"/>
      <c r="BB544" s="16"/>
      <c r="BC544" s="67"/>
      <c r="BD544" s="125"/>
      <c r="BE544" s="67"/>
      <c r="BF544" s="67"/>
      <c r="BM544" s="16"/>
    </row>
    <row r="545" spans="1:65" ht="12.75" customHeight="1" x14ac:dyDescent="0.2">
      <c r="A545" s="16"/>
      <c r="B545" s="212"/>
      <c r="AD545" s="19"/>
      <c r="AE545" s="20"/>
      <c r="AF545" s="21"/>
      <c r="AG545" s="19"/>
      <c r="AH545" s="20"/>
      <c r="AI545" s="22"/>
      <c r="AK545" s="23"/>
      <c r="AL545" s="24"/>
      <c r="AP545" s="16"/>
      <c r="AQ545" s="16"/>
      <c r="AR545" s="16"/>
      <c r="AS545" s="16"/>
      <c r="AT545" s="67"/>
      <c r="AU545" s="67"/>
      <c r="AV545" s="67"/>
      <c r="AW545" s="67"/>
      <c r="AY545" s="16"/>
      <c r="AZ545" s="16"/>
      <c r="BA545" s="16"/>
      <c r="BB545" s="16"/>
      <c r="BC545" s="67"/>
      <c r="BD545" s="125"/>
      <c r="BE545" s="67"/>
      <c r="BF545" s="67"/>
      <c r="BM545" s="16"/>
    </row>
    <row r="546" spans="1:65" ht="12.75" customHeight="1" x14ac:dyDescent="0.2">
      <c r="A546" s="16"/>
      <c r="B546" s="212"/>
      <c r="AD546" s="19"/>
      <c r="AE546" s="20"/>
      <c r="AF546" s="21"/>
      <c r="AG546" s="19"/>
      <c r="AH546" s="20"/>
      <c r="AI546" s="22"/>
      <c r="AK546" s="23"/>
      <c r="AL546" s="24"/>
      <c r="AP546" s="16"/>
      <c r="AQ546" s="16"/>
      <c r="AR546" s="16"/>
      <c r="AS546" s="16"/>
      <c r="AT546" s="67"/>
      <c r="AU546" s="67"/>
      <c r="AV546" s="67"/>
      <c r="AW546" s="67"/>
      <c r="AY546" s="16"/>
      <c r="AZ546" s="16"/>
      <c r="BA546" s="16"/>
      <c r="BB546" s="16"/>
      <c r="BC546" s="67"/>
      <c r="BD546" s="125"/>
      <c r="BE546" s="67"/>
      <c r="BF546" s="67"/>
      <c r="BM546" s="16"/>
    </row>
    <row r="547" spans="1:65" ht="12.75" customHeight="1" x14ac:dyDescent="0.2">
      <c r="A547" s="16"/>
      <c r="B547" s="212"/>
      <c r="AD547" s="19"/>
      <c r="AE547" s="20"/>
      <c r="AF547" s="21"/>
      <c r="AG547" s="19"/>
      <c r="AH547" s="20"/>
      <c r="AI547" s="22"/>
      <c r="AK547" s="23"/>
      <c r="AL547" s="24"/>
      <c r="AP547" s="16"/>
      <c r="AQ547" s="16"/>
      <c r="AR547" s="16"/>
      <c r="AS547" s="16"/>
      <c r="AT547" s="67"/>
      <c r="AU547" s="67"/>
      <c r="AV547" s="67"/>
      <c r="AW547" s="67"/>
      <c r="AY547" s="16"/>
      <c r="AZ547" s="16"/>
      <c r="BA547" s="16"/>
      <c r="BB547" s="16"/>
      <c r="BC547" s="67"/>
      <c r="BD547" s="125"/>
      <c r="BE547" s="67"/>
      <c r="BF547" s="67"/>
      <c r="BM547" s="16"/>
    </row>
    <row r="548" spans="1:65" ht="12.75" customHeight="1" x14ac:dyDescent="0.2">
      <c r="A548" s="16"/>
      <c r="B548" s="212"/>
      <c r="AD548" s="19"/>
      <c r="AE548" s="20"/>
      <c r="AF548" s="21"/>
      <c r="AG548" s="19"/>
      <c r="AH548" s="20"/>
      <c r="AI548" s="22"/>
      <c r="AK548" s="23"/>
      <c r="AL548" s="24"/>
      <c r="AP548" s="16"/>
      <c r="AQ548" s="16"/>
      <c r="AR548" s="16"/>
      <c r="AS548" s="16"/>
      <c r="AT548" s="67"/>
      <c r="AU548" s="67"/>
      <c r="AV548" s="67"/>
      <c r="AW548" s="67"/>
      <c r="AY548" s="16"/>
      <c r="AZ548" s="16"/>
      <c r="BA548" s="16"/>
      <c r="BB548" s="16"/>
      <c r="BC548" s="67"/>
      <c r="BD548" s="125"/>
      <c r="BE548" s="67"/>
      <c r="BF548" s="67"/>
      <c r="BM548" s="16"/>
    </row>
    <row r="549" spans="1:65" ht="12.75" customHeight="1" x14ac:dyDescent="0.2">
      <c r="A549" s="16"/>
      <c r="B549" s="212"/>
      <c r="AD549" s="19"/>
      <c r="AE549" s="20"/>
      <c r="AF549" s="21"/>
      <c r="AG549" s="19"/>
      <c r="AH549" s="20"/>
      <c r="AI549" s="22"/>
      <c r="AK549" s="23"/>
      <c r="AL549" s="24"/>
      <c r="AP549" s="16"/>
      <c r="AQ549" s="16"/>
      <c r="AR549" s="16"/>
      <c r="AS549" s="16"/>
      <c r="AT549" s="67"/>
      <c r="AU549" s="67"/>
      <c r="AV549" s="67"/>
      <c r="AW549" s="67"/>
      <c r="AY549" s="16"/>
      <c r="AZ549" s="16"/>
      <c r="BA549" s="16"/>
      <c r="BB549" s="16"/>
      <c r="BC549" s="67"/>
      <c r="BD549" s="125"/>
      <c r="BE549" s="67"/>
      <c r="BF549" s="67"/>
      <c r="BM549" s="16"/>
    </row>
    <row r="550" spans="1:65" ht="12.75" customHeight="1" x14ac:dyDescent="0.2">
      <c r="A550" s="16"/>
      <c r="B550" s="212"/>
      <c r="AD550" s="19"/>
      <c r="AE550" s="20"/>
      <c r="AF550" s="21"/>
      <c r="AG550" s="19"/>
      <c r="AH550" s="20"/>
      <c r="AI550" s="22"/>
      <c r="AK550" s="23"/>
      <c r="AL550" s="24"/>
      <c r="AP550" s="16"/>
      <c r="AQ550" s="16"/>
      <c r="AR550" s="16"/>
      <c r="AS550" s="16"/>
      <c r="AT550" s="67"/>
      <c r="AU550" s="67"/>
      <c r="AV550" s="67"/>
      <c r="AW550" s="67"/>
      <c r="AY550" s="16"/>
      <c r="AZ550" s="16"/>
      <c r="BA550" s="16"/>
      <c r="BB550" s="16"/>
      <c r="BC550" s="67"/>
      <c r="BD550" s="125"/>
      <c r="BE550" s="67"/>
      <c r="BF550" s="67"/>
      <c r="BM550" s="16"/>
    </row>
    <row r="551" spans="1:65" ht="12.75" customHeight="1" x14ac:dyDescent="0.2">
      <c r="A551" s="16"/>
      <c r="B551" s="212"/>
      <c r="AD551" s="19"/>
      <c r="AE551" s="20"/>
      <c r="AF551" s="21"/>
      <c r="AG551" s="19"/>
      <c r="AH551" s="20"/>
      <c r="AI551" s="22"/>
      <c r="AK551" s="23"/>
      <c r="AL551" s="24"/>
      <c r="AP551" s="16"/>
      <c r="AQ551" s="16"/>
      <c r="AR551" s="16"/>
      <c r="AS551" s="16"/>
      <c r="AT551" s="67"/>
      <c r="AU551" s="67"/>
      <c r="AV551" s="67"/>
      <c r="AW551" s="67"/>
      <c r="AY551" s="16"/>
      <c r="AZ551" s="16"/>
      <c r="BA551" s="16"/>
      <c r="BB551" s="16"/>
      <c r="BC551" s="67"/>
      <c r="BD551" s="125"/>
      <c r="BE551" s="67"/>
      <c r="BF551" s="67"/>
      <c r="BM551" s="16"/>
    </row>
    <row r="552" spans="1:65" ht="12.75" customHeight="1" x14ac:dyDescent="0.2">
      <c r="A552" s="16"/>
      <c r="B552" s="212"/>
      <c r="AD552" s="19"/>
      <c r="AE552" s="20"/>
      <c r="AF552" s="21"/>
      <c r="AG552" s="19"/>
      <c r="AH552" s="20"/>
      <c r="AI552" s="22"/>
      <c r="AK552" s="23"/>
      <c r="AL552" s="24"/>
      <c r="AP552" s="16"/>
      <c r="AQ552" s="16"/>
      <c r="AR552" s="16"/>
      <c r="AS552" s="16"/>
      <c r="AT552" s="67"/>
      <c r="AU552" s="67"/>
      <c r="AV552" s="67"/>
      <c r="AW552" s="67"/>
      <c r="AY552" s="16"/>
      <c r="AZ552" s="16"/>
      <c r="BA552" s="16"/>
      <c r="BB552" s="16"/>
      <c r="BC552" s="67"/>
      <c r="BD552" s="125"/>
      <c r="BE552" s="67"/>
      <c r="BF552" s="67"/>
      <c r="BM552" s="16"/>
    </row>
    <row r="553" spans="1:65" ht="12.75" customHeight="1" x14ac:dyDescent="0.2">
      <c r="A553" s="16"/>
      <c r="B553" s="212"/>
      <c r="AD553" s="19"/>
      <c r="AE553" s="20"/>
      <c r="AF553" s="21"/>
      <c r="AG553" s="19"/>
      <c r="AH553" s="20"/>
      <c r="AI553" s="22"/>
      <c r="AK553" s="23"/>
      <c r="AL553" s="24"/>
      <c r="AP553" s="16"/>
      <c r="AQ553" s="16"/>
      <c r="AR553" s="16"/>
      <c r="AS553" s="16"/>
      <c r="AT553" s="67"/>
      <c r="AU553" s="67"/>
      <c r="AV553" s="67"/>
      <c r="AW553" s="67"/>
      <c r="AY553" s="16"/>
      <c r="AZ553" s="16"/>
      <c r="BA553" s="16"/>
      <c r="BB553" s="16"/>
      <c r="BC553" s="67"/>
      <c r="BD553" s="125"/>
      <c r="BE553" s="67"/>
      <c r="BF553" s="67"/>
      <c r="BM553" s="16"/>
    </row>
    <row r="554" spans="1:65" ht="12.75" customHeight="1" x14ac:dyDescent="0.2">
      <c r="A554" s="16"/>
      <c r="B554" s="212"/>
      <c r="AD554" s="19"/>
      <c r="AE554" s="20"/>
      <c r="AF554" s="21"/>
      <c r="AG554" s="19"/>
      <c r="AH554" s="20"/>
      <c r="AI554" s="22"/>
      <c r="AK554" s="23"/>
      <c r="AL554" s="24"/>
      <c r="AP554" s="16"/>
      <c r="AQ554" s="16"/>
      <c r="AR554" s="16"/>
      <c r="AS554" s="16"/>
      <c r="AT554" s="67"/>
      <c r="AU554" s="67"/>
      <c r="AV554" s="67"/>
      <c r="AW554" s="67"/>
      <c r="AY554" s="16"/>
      <c r="AZ554" s="16"/>
      <c r="BA554" s="16"/>
      <c r="BB554" s="16"/>
      <c r="BC554" s="67"/>
      <c r="BD554" s="125"/>
      <c r="BE554" s="67"/>
      <c r="BF554" s="67"/>
      <c r="BM554" s="16"/>
    </row>
    <row r="555" spans="1:65" ht="12.75" customHeight="1" x14ac:dyDescent="0.2">
      <c r="A555" s="16"/>
      <c r="B555" s="212"/>
      <c r="AD555" s="19"/>
      <c r="AE555" s="20"/>
      <c r="AF555" s="21"/>
      <c r="AG555" s="19"/>
      <c r="AH555" s="20"/>
      <c r="AI555" s="22"/>
      <c r="AK555" s="23"/>
      <c r="AL555" s="24"/>
      <c r="AP555" s="16"/>
      <c r="AQ555" s="16"/>
      <c r="AR555" s="16"/>
      <c r="AS555" s="16"/>
      <c r="AT555" s="67"/>
      <c r="AU555" s="67"/>
      <c r="AV555" s="67"/>
      <c r="AW555" s="67"/>
      <c r="AY555" s="16"/>
      <c r="AZ555" s="16"/>
      <c r="BA555" s="16"/>
      <c r="BB555" s="16"/>
      <c r="BC555" s="67"/>
      <c r="BD555" s="125"/>
      <c r="BE555" s="67"/>
      <c r="BF555" s="67"/>
      <c r="BM555" s="16"/>
    </row>
    <row r="556" spans="1:65" ht="12.75" customHeight="1" x14ac:dyDescent="0.2">
      <c r="A556" s="16"/>
      <c r="B556" s="212"/>
      <c r="AD556" s="19"/>
      <c r="AE556" s="20"/>
      <c r="AF556" s="21"/>
      <c r="AG556" s="19"/>
      <c r="AH556" s="20"/>
      <c r="AI556" s="22"/>
      <c r="AK556" s="23"/>
      <c r="AL556" s="24"/>
      <c r="AP556" s="16"/>
      <c r="AQ556" s="16"/>
      <c r="AR556" s="16"/>
      <c r="AS556" s="16"/>
      <c r="AT556" s="67"/>
      <c r="AU556" s="67"/>
      <c r="AV556" s="67"/>
      <c r="AW556" s="67"/>
      <c r="AY556" s="16"/>
      <c r="AZ556" s="16"/>
      <c r="BA556" s="16"/>
      <c r="BB556" s="16"/>
      <c r="BC556" s="67"/>
      <c r="BD556" s="125"/>
      <c r="BE556" s="67"/>
      <c r="BF556" s="67"/>
      <c r="BM556" s="16"/>
    </row>
    <row r="557" spans="1:65" ht="12.75" customHeight="1" x14ac:dyDescent="0.2">
      <c r="A557" s="16"/>
      <c r="B557" s="212"/>
      <c r="AD557" s="19"/>
      <c r="AE557" s="20"/>
      <c r="AF557" s="21"/>
      <c r="AG557" s="19"/>
      <c r="AH557" s="20"/>
      <c r="AI557" s="22"/>
      <c r="AK557" s="23"/>
      <c r="AL557" s="24"/>
      <c r="AP557" s="16"/>
      <c r="AQ557" s="16"/>
      <c r="AR557" s="16"/>
      <c r="AS557" s="16"/>
      <c r="AT557" s="67"/>
      <c r="AU557" s="67"/>
      <c r="AV557" s="67"/>
      <c r="AW557" s="67"/>
      <c r="AY557" s="16"/>
      <c r="AZ557" s="16"/>
      <c r="BA557" s="16"/>
      <c r="BB557" s="16"/>
      <c r="BC557" s="67"/>
      <c r="BD557" s="125"/>
      <c r="BE557" s="67"/>
      <c r="BF557" s="67"/>
      <c r="BM557" s="16"/>
    </row>
    <row r="558" spans="1:65" ht="12.75" customHeight="1" x14ac:dyDescent="0.2">
      <c r="A558" s="16"/>
      <c r="B558" s="212"/>
      <c r="AD558" s="19"/>
      <c r="AE558" s="20"/>
      <c r="AF558" s="21"/>
      <c r="AG558" s="19"/>
      <c r="AH558" s="20"/>
      <c r="AI558" s="22"/>
      <c r="AK558" s="23"/>
      <c r="AL558" s="24"/>
      <c r="AP558" s="16"/>
      <c r="AQ558" s="16"/>
      <c r="AR558" s="16"/>
      <c r="AS558" s="16"/>
      <c r="AT558" s="67"/>
      <c r="AU558" s="67"/>
      <c r="AV558" s="67"/>
      <c r="AW558" s="67"/>
      <c r="AY558" s="16"/>
      <c r="AZ558" s="16"/>
      <c r="BA558" s="16"/>
      <c r="BB558" s="16"/>
      <c r="BC558" s="67"/>
      <c r="BD558" s="125"/>
      <c r="BE558" s="67"/>
      <c r="BF558" s="67"/>
      <c r="BM558" s="16"/>
    </row>
    <row r="559" spans="1:65" ht="12.75" customHeight="1" x14ac:dyDescent="0.2">
      <c r="A559" s="16"/>
      <c r="B559" s="212"/>
      <c r="AD559" s="19"/>
      <c r="AE559" s="20"/>
      <c r="AF559" s="21"/>
      <c r="AG559" s="19"/>
      <c r="AH559" s="20"/>
      <c r="AI559" s="22"/>
      <c r="AK559" s="23"/>
      <c r="AL559" s="24"/>
      <c r="AP559" s="16"/>
      <c r="AQ559" s="16"/>
      <c r="AR559" s="16"/>
      <c r="AS559" s="16"/>
      <c r="AT559" s="67"/>
      <c r="AU559" s="67"/>
      <c r="AV559" s="67"/>
      <c r="AW559" s="67"/>
      <c r="AY559" s="16"/>
      <c r="AZ559" s="16"/>
      <c r="BA559" s="16"/>
      <c r="BB559" s="16"/>
      <c r="BC559" s="67"/>
      <c r="BD559" s="125"/>
      <c r="BE559" s="67"/>
      <c r="BF559" s="67"/>
      <c r="BM559" s="16"/>
    </row>
    <row r="560" spans="1:65" ht="12.75" customHeight="1" x14ac:dyDescent="0.2">
      <c r="A560" s="16"/>
      <c r="B560" s="212"/>
      <c r="AD560" s="19"/>
      <c r="AE560" s="20"/>
      <c r="AF560" s="21"/>
      <c r="AG560" s="19"/>
      <c r="AH560" s="20"/>
      <c r="AI560" s="22"/>
      <c r="AK560" s="23"/>
      <c r="AL560" s="24"/>
      <c r="AP560" s="16"/>
      <c r="AQ560" s="16"/>
      <c r="AR560" s="16"/>
      <c r="AS560" s="16"/>
      <c r="AT560" s="67"/>
      <c r="AU560" s="67"/>
      <c r="AV560" s="67"/>
      <c r="AW560" s="67"/>
      <c r="AY560" s="16"/>
      <c r="AZ560" s="16"/>
      <c r="BA560" s="16"/>
      <c r="BB560" s="16"/>
      <c r="BC560" s="67"/>
      <c r="BD560" s="125"/>
      <c r="BE560" s="67"/>
      <c r="BF560" s="67"/>
      <c r="BM560" s="16"/>
    </row>
    <row r="561" spans="1:65" ht="12.75" customHeight="1" x14ac:dyDescent="0.2">
      <c r="A561" s="16"/>
      <c r="B561" s="212"/>
      <c r="AD561" s="19"/>
      <c r="AE561" s="20"/>
      <c r="AF561" s="21"/>
      <c r="AG561" s="19"/>
      <c r="AH561" s="20"/>
      <c r="AI561" s="22"/>
      <c r="AK561" s="23"/>
      <c r="AL561" s="24"/>
      <c r="AP561" s="16"/>
      <c r="AQ561" s="16"/>
      <c r="AR561" s="16"/>
      <c r="AS561" s="16"/>
      <c r="AT561" s="67"/>
      <c r="AU561" s="67"/>
      <c r="AV561" s="67"/>
      <c r="AW561" s="67"/>
      <c r="AY561" s="16"/>
      <c r="AZ561" s="16"/>
      <c r="BA561" s="16"/>
      <c r="BB561" s="16"/>
      <c r="BC561" s="67"/>
      <c r="BD561" s="125"/>
      <c r="BE561" s="67"/>
      <c r="BF561" s="67"/>
      <c r="BM561" s="16"/>
    </row>
    <row r="562" spans="1:65" ht="12.75" customHeight="1" x14ac:dyDescent="0.2">
      <c r="A562" s="16"/>
      <c r="B562" s="212"/>
      <c r="AD562" s="19"/>
      <c r="AE562" s="20"/>
      <c r="AF562" s="21"/>
      <c r="AG562" s="19"/>
      <c r="AH562" s="20"/>
      <c r="AI562" s="22"/>
      <c r="AK562" s="23"/>
      <c r="AL562" s="24"/>
      <c r="AP562" s="16"/>
      <c r="AQ562" s="16"/>
      <c r="AR562" s="16"/>
      <c r="AS562" s="16"/>
      <c r="AT562" s="67"/>
      <c r="AU562" s="67"/>
      <c r="AV562" s="67"/>
      <c r="AW562" s="67"/>
      <c r="AY562" s="16"/>
      <c r="AZ562" s="16"/>
      <c r="BA562" s="16"/>
      <c r="BB562" s="16"/>
      <c r="BC562" s="67"/>
      <c r="BD562" s="125"/>
      <c r="BE562" s="67"/>
      <c r="BF562" s="67"/>
      <c r="BM562" s="16"/>
    </row>
    <row r="563" spans="1:65" ht="12.75" customHeight="1" x14ac:dyDescent="0.2">
      <c r="A563" s="16"/>
      <c r="B563" s="212"/>
      <c r="AD563" s="19"/>
      <c r="AE563" s="20"/>
      <c r="AF563" s="21"/>
      <c r="AG563" s="19"/>
      <c r="AH563" s="20"/>
      <c r="AI563" s="22"/>
      <c r="AK563" s="23"/>
      <c r="AL563" s="24"/>
      <c r="AP563" s="16"/>
      <c r="AQ563" s="16"/>
      <c r="AR563" s="16"/>
      <c r="AS563" s="16"/>
      <c r="AT563" s="67"/>
      <c r="AU563" s="67"/>
      <c r="AV563" s="67"/>
      <c r="AW563" s="67"/>
      <c r="AY563" s="16"/>
      <c r="AZ563" s="16"/>
      <c r="BA563" s="16"/>
      <c r="BB563" s="16"/>
      <c r="BC563" s="67"/>
      <c r="BD563" s="125"/>
      <c r="BE563" s="67"/>
      <c r="BF563" s="67"/>
      <c r="BM563" s="16"/>
    </row>
    <row r="564" spans="1:65" ht="12.75" customHeight="1" x14ac:dyDescent="0.2">
      <c r="A564" s="16"/>
      <c r="B564" s="212"/>
      <c r="AD564" s="19"/>
      <c r="AE564" s="20"/>
      <c r="AF564" s="21"/>
      <c r="AG564" s="19"/>
      <c r="AH564" s="20"/>
      <c r="AI564" s="22"/>
      <c r="AK564" s="23"/>
      <c r="AL564" s="24"/>
      <c r="AP564" s="16"/>
      <c r="AQ564" s="16"/>
      <c r="AR564" s="16"/>
      <c r="AS564" s="16"/>
      <c r="AT564" s="67"/>
      <c r="AU564" s="67"/>
      <c r="AV564" s="67"/>
      <c r="AW564" s="67"/>
      <c r="AY564" s="16"/>
      <c r="AZ564" s="16"/>
      <c r="BA564" s="16"/>
      <c r="BB564" s="16"/>
      <c r="BC564" s="67"/>
      <c r="BD564" s="125"/>
      <c r="BE564" s="67"/>
      <c r="BF564" s="67"/>
      <c r="BM564" s="16"/>
    </row>
    <row r="565" spans="1:65" ht="12.75" customHeight="1" x14ac:dyDescent="0.2">
      <c r="A565" s="16"/>
      <c r="B565" s="212"/>
      <c r="AD565" s="19"/>
      <c r="AE565" s="20"/>
      <c r="AF565" s="21"/>
      <c r="AG565" s="19"/>
      <c r="AH565" s="20"/>
      <c r="AI565" s="22"/>
      <c r="AK565" s="23"/>
      <c r="AL565" s="24"/>
      <c r="AP565" s="16"/>
      <c r="AQ565" s="16"/>
      <c r="AR565" s="16"/>
      <c r="AS565" s="16"/>
      <c r="AT565" s="67"/>
      <c r="AU565" s="67"/>
      <c r="AV565" s="67"/>
      <c r="AW565" s="67"/>
      <c r="AY565" s="16"/>
      <c r="AZ565" s="16"/>
      <c r="BA565" s="16"/>
      <c r="BB565" s="16"/>
      <c r="BC565" s="67"/>
      <c r="BD565" s="125"/>
      <c r="BE565" s="67"/>
      <c r="BF565" s="67"/>
      <c r="BM565" s="16"/>
    </row>
    <row r="566" spans="1:65" ht="12.75" customHeight="1" x14ac:dyDescent="0.2">
      <c r="A566" s="16"/>
      <c r="B566" s="212"/>
      <c r="AD566" s="19"/>
      <c r="AE566" s="20"/>
      <c r="AF566" s="21"/>
      <c r="AG566" s="19"/>
      <c r="AH566" s="20"/>
      <c r="AI566" s="22"/>
      <c r="AK566" s="23"/>
      <c r="AL566" s="24"/>
      <c r="AP566" s="16"/>
      <c r="AQ566" s="16"/>
      <c r="AR566" s="16"/>
      <c r="AS566" s="16"/>
      <c r="AT566" s="67"/>
      <c r="AU566" s="67"/>
      <c r="AV566" s="67"/>
      <c r="AW566" s="67"/>
      <c r="AY566" s="16"/>
      <c r="AZ566" s="16"/>
      <c r="BA566" s="16"/>
      <c r="BB566" s="16"/>
      <c r="BC566" s="67"/>
      <c r="BD566" s="125"/>
      <c r="BE566" s="67"/>
      <c r="BF566" s="67"/>
      <c r="BM566" s="16"/>
    </row>
    <row r="567" spans="1:65" ht="12.75" customHeight="1" x14ac:dyDescent="0.2">
      <c r="A567" s="16"/>
      <c r="B567" s="212"/>
      <c r="AD567" s="19"/>
      <c r="AE567" s="20"/>
      <c r="AF567" s="21"/>
      <c r="AG567" s="19"/>
      <c r="AH567" s="20"/>
      <c r="AI567" s="22"/>
      <c r="AK567" s="23"/>
      <c r="AL567" s="24"/>
      <c r="AP567" s="16"/>
      <c r="AQ567" s="16"/>
      <c r="AR567" s="16"/>
      <c r="AS567" s="16"/>
      <c r="AT567" s="67"/>
      <c r="AU567" s="67"/>
      <c r="AV567" s="67"/>
      <c r="AW567" s="67"/>
      <c r="AY567" s="16"/>
      <c r="AZ567" s="16"/>
      <c r="BA567" s="16"/>
      <c r="BB567" s="16"/>
      <c r="BC567" s="67"/>
      <c r="BD567" s="125"/>
      <c r="BE567" s="67"/>
      <c r="BF567" s="67"/>
      <c r="BM567" s="16"/>
    </row>
    <row r="568" spans="1:65" ht="12.75" customHeight="1" x14ac:dyDescent="0.2">
      <c r="A568" s="16"/>
      <c r="B568" s="212"/>
      <c r="AD568" s="19"/>
      <c r="AE568" s="20"/>
      <c r="AF568" s="21"/>
      <c r="AG568" s="19"/>
      <c r="AH568" s="20"/>
      <c r="AI568" s="22"/>
      <c r="AK568" s="23"/>
      <c r="AL568" s="24"/>
      <c r="AP568" s="16"/>
      <c r="AQ568" s="16"/>
      <c r="AR568" s="16"/>
      <c r="AS568" s="16"/>
      <c r="AT568" s="67"/>
      <c r="AU568" s="67"/>
      <c r="AV568" s="67"/>
      <c r="AW568" s="67"/>
      <c r="AY568" s="16"/>
      <c r="AZ568" s="16"/>
      <c r="BA568" s="16"/>
      <c r="BB568" s="16"/>
      <c r="BC568" s="67"/>
      <c r="BD568" s="125"/>
      <c r="BE568" s="67"/>
      <c r="BF568" s="67"/>
      <c r="BM568" s="16"/>
    </row>
    <row r="569" spans="1:65" ht="12.75" customHeight="1" x14ac:dyDescent="0.2">
      <c r="A569" s="16"/>
      <c r="B569" s="212"/>
      <c r="AD569" s="19"/>
      <c r="AE569" s="20"/>
      <c r="AF569" s="21"/>
      <c r="AG569" s="19"/>
      <c r="AH569" s="20"/>
      <c r="AI569" s="22"/>
      <c r="AK569" s="23"/>
      <c r="AL569" s="24"/>
      <c r="AP569" s="16"/>
      <c r="AQ569" s="16"/>
      <c r="AR569" s="16"/>
      <c r="AS569" s="16"/>
      <c r="AT569" s="67"/>
      <c r="AU569" s="67"/>
      <c r="AV569" s="67"/>
      <c r="AW569" s="67"/>
      <c r="AY569" s="16"/>
      <c r="AZ569" s="16"/>
      <c r="BA569" s="16"/>
      <c r="BB569" s="16"/>
      <c r="BC569" s="67"/>
      <c r="BD569" s="125"/>
      <c r="BE569" s="67"/>
      <c r="BF569" s="67"/>
      <c r="BM569" s="16"/>
    </row>
    <row r="570" spans="1:65" ht="12.75" customHeight="1" x14ac:dyDescent="0.2">
      <c r="A570" s="16"/>
      <c r="B570" s="212"/>
      <c r="AD570" s="19"/>
      <c r="AE570" s="20"/>
      <c r="AF570" s="21"/>
      <c r="AG570" s="19"/>
      <c r="AH570" s="20"/>
      <c r="AI570" s="22"/>
      <c r="AK570" s="23"/>
      <c r="AL570" s="24"/>
      <c r="AP570" s="16"/>
      <c r="AQ570" s="16"/>
      <c r="AR570" s="16"/>
      <c r="AS570" s="16"/>
      <c r="AT570" s="67"/>
      <c r="AU570" s="67"/>
      <c r="AV570" s="67"/>
      <c r="AW570" s="67"/>
      <c r="AY570" s="16"/>
      <c r="AZ570" s="16"/>
      <c r="BA570" s="16"/>
      <c r="BB570" s="16"/>
      <c r="BC570" s="67"/>
      <c r="BD570" s="125"/>
      <c r="BE570" s="67"/>
      <c r="BF570" s="67"/>
      <c r="BM570" s="16"/>
    </row>
    <row r="571" spans="1:65" ht="12.75" customHeight="1" x14ac:dyDescent="0.2">
      <c r="A571" s="16"/>
      <c r="B571" s="212"/>
      <c r="AD571" s="19"/>
      <c r="AE571" s="20"/>
      <c r="AF571" s="21"/>
      <c r="AG571" s="19"/>
      <c r="AH571" s="20"/>
      <c r="AI571" s="22"/>
      <c r="AK571" s="23"/>
      <c r="AL571" s="24"/>
      <c r="AP571" s="16"/>
      <c r="AQ571" s="16"/>
      <c r="AR571" s="16"/>
      <c r="AS571" s="16"/>
      <c r="AT571" s="67"/>
      <c r="AU571" s="67"/>
      <c r="AV571" s="67"/>
      <c r="AW571" s="67"/>
      <c r="AY571" s="16"/>
      <c r="AZ571" s="16"/>
      <c r="BA571" s="16"/>
      <c r="BB571" s="16"/>
      <c r="BC571" s="67"/>
      <c r="BD571" s="125"/>
      <c r="BE571" s="67"/>
      <c r="BF571" s="67"/>
      <c r="BM571" s="16"/>
    </row>
    <row r="572" spans="1:65" ht="12.75" customHeight="1" x14ac:dyDescent="0.2">
      <c r="A572" s="16"/>
      <c r="B572" s="212"/>
      <c r="AD572" s="19"/>
      <c r="AE572" s="20"/>
      <c r="AF572" s="21"/>
      <c r="AG572" s="19"/>
      <c r="AH572" s="20"/>
      <c r="AI572" s="22"/>
      <c r="AK572" s="23"/>
      <c r="AL572" s="24"/>
      <c r="AP572" s="16"/>
      <c r="AQ572" s="16"/>
      <c r="AR572" s="16"/>
      <c r="AS572" s="16"/>
      <c r="AT572" s="67"/>
      <c r="AU572" s="67"/>
      <c r="AV572" s="67"/>
      <c r="AW572" s="67"/>
      <c r="AY572" s="16"/>
      <c r="AZ572" s="16"/>
      <c r="BA572" s="16"/>
      <c r="BB572" s="16"/>
      <c r="BC572" s="67"/>
      <c r="BD572" s="125"/>
      <c r="BE572" s="67"/>
      <c r="BF572" s="67"/>
      <c r="BM572" s="16"/>
    </row>
    <row r="573" spans="1:65" ht="12.75" customHeight="1" x14ac:dyDescent="0.2">
      <c r="A573" s="16"/>
      <c r="B573" s="212"/>
      <c r="AD573" s="19"/>
      <c r="AE573" s="20"/>
      <c r="AF573" s="21"/>
      <c r="AG573" s="19"/>
      <c r="AH573" s="20"/>
      <c r="AI573" s="22"/>
      <c r="AK573" s="23"/>
      <c r="AL573" s="24"/>
      <c r="AP573" s="16"/>
      <c r="AQ573" s="16"/>
      <c r="AR573" s="16"/>
      <c r="AS573" s="16"/>
      <c r="AT573" s="67"/>
      <c r="AU573" s="67"/>
      <c r="AV573" s="67"/>
      <c r="AW573" s="67"/>
      <c r="AY573" s="16"/>
      <c r="AZ573" s="16"/>
      <c r="BA573" s="16"/>
      <c r="BB573" s="16"/>
      <c r="BC573" s="67"/>
      <c r="BD573" s="125"/>
      <c r="BE573" s="67"/>
      <c r="BF573" s="67"/>
      <c r="BM573" s="16"/>
    </row>
    <row r="574" spans="1:65" ht="12.75" customHeight="1" x14ac:dyDescent="0.2">
      <c r="A574" s="16"/>
      <c r="B574" s="212"/>
      <c r="AD574" s="19"/>
      <c r="AE574" s="20"/>
      <c r="AF574" s="21"/>
      <c r="AG574" s="19"/>
      <c r="AH574" s="20"/>
      <c r="AI574" s="22"/>
      <c r="AK574" s="23"/>
      <c r="AL574" s="24"/>
      <c r="AP574" s="16"/>
      <c r="AQ574" s="16"/>
      <c r="AR574" s="16"/>
      <c r="AS574" s="16"/>
      <c r="AT574" s="67"/>
      <c r="AU574" s="67"/>
      <c r="AV574" s="67"/>
      <c r="AW574" s="67"/>
      <c r="AY574" s="16"/>
      <c r="AZ574" s="16"/>
      <c r="BA574" s="16"/>
      <c r="BB574" s="16"/>
      <c r="BC574" s="67"/>
      <c r="BD574" s="125"/>
      <c r="BE574" s="67"/>
      <c r="BF574" s="67"/>
      <c r="BM574" s="16"/>
    </row>
    <row r="575" spans="1:65" ht="12.75" customHeight="1" x14ac:dyDescent="0.2">
      <c r="A575" s="16"/>
      <c r="B575" s="212"/>
      <c r="AD575" s="19"/>
      <c r="AE575" s="20"/>
      <c r="AF575" s="21"/>
      <c r="AG575" s="19"/>
      <c r="AH575" s="20"/>
      <c r="AI575" s="22"/>
      <c r="AK575" s="23"/>
      <c r="AL575" s="24"/>
      <c r="AP575" s="16"/>
      <c r="AQ575" s="16"/>
      <c r="AR575" s="16"/>
      <c r="AS575" s="16"/>
      <c r="AT575" s="67"/>
      <c r="AU575" s="67"/>
      <c r="AV575" s="67"/>
      <c r="AW575" s="67"/>
      <c r="AY575" s="16"/>
      <c r="AZ575" s="16"/>
      <c r="BA575" s="16"/>
      <c r="BB575" s="16"/>
      <c r="BC575" s="67"/>
      <c r="BD575" s="125"/>
      <c r="BE575" s="67"/>
      <c r="BF575" s="67"/>
      <c r="BM575" s="16"/>
    </row>
    <row r="576" spans="1:65" ht="12.75" customHeight="1" x14ac:dyDescent="0.2">
      <c r="A576" s="16"/>
      <c r="B576" s="212"/>
      <c r="AD576" s="19"/>
      <c r="AE576" s="20"/>
      <c r="AF576" s="21"/>
      <c r="AG576" s="19"/>
      <c r="AH576" s="20"/>
      <c r="AI576" s="22"/>
      <c r="AK576" s="23"/>
      <c r="AL576" s="24"/>
      <c r="AP576" s="16"/>
      <c r="AQ576" s="16"/>
      <c r="AR576" s="16"/>
      <c r="AS576" s="16"/>
      <c r="AT576" s="67"/>
      <c r="AU576" s="67"/>
      <c r="AV576" s="67"/>
      <c r="AW576" s="67"/>
      <c r="AY576" s="16"/>
      <c r="AZ576" s="16"/>
      <c r="BA576" s="16"/>
      <c r="BB576" s="16"/>
      <c r="BC576" s="67"/>
      <c r="BD576" s="125"/>
      <c r="BE576" s="67"/>
      <c r="BF576" s="67"/>
      <c r="BM576" s="16"/>
    </row>
    <row r="577" spans="1:65" ht="12.75" customHeight="1" x14ac:dyDescent="0.2">
      <c r="A577" s="16"/>
      <c r="B577" s="212"/>
      <c r="AD577" s="19"/>
      <c r="AE577" s="20"/>
      <c r="AF577" s="21"/>
      <c r="AG577" s="19"/>
      <c r="AH577" s="20"/>
      <c r="AI577" s="22"/>
      <c r="AK577" s="23"/>
      <c r="AL577" s="24"/>
      <c r="AP577" s="16"/>
      <c r="AQ577" s="16"/>
      <c r="AR577" s="16"/>
      <c r="AS577" s="16"/>
      <c r="AT577" s="67"/>
      <c r="AU577" s="67"/>
      <c r="AV577" s="67"/>
      <c r="AW577" s="67"/>
      <c r="AY577" s="16"/>
      <c r="AZ577" s="16"/>
      <c r="BA577" s="16"/>
      <c r="BB577" s="16"/>
      <c r="BC577" s="67"/>
      <c r="BD577" s="125"/>
      <c r="BE577" s="67"/>
      <c r="BF577" s="67"/>
      <c r="BM577" s="16"/>
    </row>
    <row r="578" spans="1:65" ht="12.75" customHeight="1" x14ac:dyDescent="0.2">
      <c r="A578" s="16"/>
      <c r="B578" s="212"/>
      <c r="AD578" s="19"/>
      <c r="AE578" s="20"/>
      <c r="AF578" s="21"/>
      <c r="AG578" s="19"/>
      <c r="AH578" s="20"/>
      <c r="AI578" s="22"/>
      <c r="AK578" s="23"/>
      <c r="AL578" s="24"/>
      <c r="AP578" s="16"/>
      <c r="AQ578" s="16"/>
      <c r="AR578" s="16"/>
      <c r="AS578" s="16"/>
      <c r="AT578" s="67"/>
      <c r="AU578" s="67"/>
      <c r="AV578" s="67"/>
      <c r="AW578" s="67"/>
      <c r="AY578" s="16"/>
      <c r="AZ578" s="16"/>
      <c r="BA578" s="16"/>
      <c r="BB578" s="16"/>
      <c r="BC578" s="67"/>
      <c r="BD578" s="125"/>
      <c r="BE578" s="67"/>
      <c r="BF578" s="67"/>
      <c r="BM578" s="16"/>
    </row>
    <row r="579" spans="1:65" ht="12.75" customHeight="1" x14ac:dyDescent="0.2">
      <c r="A579" s="16"/>
      <c r="B579" s="212"/>
      <c r="AD579" s="19"/>
      <c r="AE579" s="20"/>
      <c r="AF579" s="21"/>
      <c r="AG579" s="19"/>
      <c r="AH579" s="20"/>
      <c r="AI579" s="22"/>
      <c r="AK579" s="23"/>
      <c r="AL579" s="24"/>
      <c r="AP579" s="16"/>
      <c r="AQ579" s="16"/>
      <c r="AR579" s="16"/>
      <c r="AS579" s="16"/>
      <c r="AT579" s="67"/>
      <c r="AU579" s="67"/>
      <c r="AV579" s="67"/>
      <c r="AW579" s="67"/>
      <c r="AY579" s="16"/>
      <c r="AZ579" s="16"/>
      <c r="BA579" s="16"/>
      <c r="BB579" s="16"/>
      <c r="BC579" s="67"/>
      <c r="BD579" s="125"/>
      <c r="BE579" s="67"/>
      <c r="BF579" s="67"/>
      <c r="BM579" s="16"/>
    </row>
    <row r="580" spans="1:65" ht="12.75" customHeight="1" x14ac:dyDescent="0.2">
      <c r="A580" s="16"/>
      <c r="B580" s="212"/>
      <c r="AD580" s="19"/>
      <c r="AE580" s="20"/>
      <c r="AF580" s="21"/>
      <c r="AG580" s="19"/>
      <c r="AH580" s="20"/>
      <c r="AI580" s="22"/>
      <c r="AK580" s="23"/>
      <c r="AL580" s="24"/>
      <c r="AP580" s="16"/>
      <c r="AQ580" s="16"/>
      <c r="AR580" s="16"/>
      <c r="AS580" s="16"/>
      <c r="AT580" s="67"/>
      <c r="AU580" s="67"/>
      <c r="AV580" s="67"/>
      <c r="AW580" s="67"/>
      <c r="AY580" s="16"/>
      <c r="AZ580" s="16"/>
      <c r="BA580" s="16"/>
      <c r="BB580" s="16"/>
      <c r="BC580" s="67"/>
      <c r="BD580" s="125"/>
      <c r="BE580" s="67"/>
      <c r="BF580" s="67"/>
      <c r="BM580" s="16"/>
    </row>
    <row r="581" spans="1:65" ht="12.75" customHeight="1" x14ac:dyDescent="0.2">
      <c r="A581" s="16"/>
      <c r="B581" s="212"/>
      <c r="AD581" s="19"/>
      <c r="AE581" s="20"/>
      <c r="AF581" s="21"/>
      <c r="AG581" s="19"/>
      <c r="AH581" s="20"/>
      <c r="AI581" s="22"/>
      <c r="AK581" s="23"/>
      <c r="AL581" s="24"/>
      <c r="AP581" s="16"/>
      <c r="AQ581" s="16"/>
      <c r="AR581" s="16"/>
      <c r="AS581" s="16"/>
      <c r="AT581" s="67"/>
      <c r="AU581" s="67"/>
      <c r="AV581" s="67"/>
      <c r="AW581" s="67"/>
      <c r="AY581" s="16"/>
      <c r="AZ581" s="16"/>
      <c r="BA581" s="16"/>
      <c r="BB581" s="16"/>
      <c r="BC581" s="67"/>
      <c r="BD581" s="125"/>
      <c r="BE581" s="67"/>
      <c r="BF581" s="67"/>
      <c r="BM581" s="16"/>
    </row>
    <row r="582" spans="1:65" ht="12.75" customHeight="1" x14ac:dyDescent="0.2">
      <c r="A582" s="16"/>
      <c r="B582" s="212"/>
      <c r="AD582" s="19"/>
      <c r="AE582" s="20"/>
      <c r="AF582" s="21"/>
      <c r="AG582" s="19"/>
      <c r="AH582" s="20"/>
      <c r="AI582" s="22"/>
      <c r="AK582" s="23"/>
      <c r="AL582" s="24"/>
      <c r="AP582" s="16"/>
      <c r="AQ582" s="16"/>
      <c r="AR582" s="16"/>
      <c r="AS582" s="16"/>
      <c r="AT582" s="67"/>
      <c r="AU582" s="67"/>
      <c r="AV582" s="67"/>
      <c r="AW582" s="67"/>
      <c r="AY582" s="16"/>
      <c r="AZ582" s="16"/>
      <c r="BA582" s="16"/>
      <c r="BB582" s="16"/>
      <c r="BC582" s="67"/>
      <c r="BD582" s="125"/>
      <c r="BE582" s="67"/>
      <c r="BF582" s="67"/>
      <c r="BM582" s="16"/>
    </row>
    <row r="583" spans="1:65" ht="12.75" customHeight="1" x14ac:dyDescent="0.2">
      <c r="A583" s="16"/>
      <c r="B583" s="212"/>
      <c r="AD583" s="19"/>
      <c r="AE583" s="20"/>
      <c r="AF583" s="21"/>
      <c r="AG583" s="19"/>
      <c r="AH583" s="20"/>
      <c r="AI583" s="22"/>
      <c r="AK583" s="23"/>
      <c r="AL583" s="24"/>
      <c r="AP583" s="16"/>
      <c r="AQ583" s="16"/>
      <c r="AR583" s="16"/>
      <c r="AS583" s="16"/>
      <c r="AT583" s="67"/>
      <c r="AU583" s="67"/>
      <c r="AV583" s="67"/>
      <c r="AW583" s="67"/>
      <c r="AY583" s="16"/>
      <c r="AZ583" s="16"/>
      <c r="BA583" s="16"/>
      <c r="BB583" s="16"/>
      <c r="BC583" s="67"/>
      <c r="BD583" s="125"/>
      <c r="BE583" s="67"/>
      <c r="BF583" s="67"/>
      <c r="BM583" s="16"/>
    </row>
    <row r="584" spans="1:65" ht="12.75" customHeight="1" x14ac:dyDescent="0.2">
      <c r="A584" s="16"/>
      <c r="B584" s="212"/>
      <c r="AD584" s="19"/>
      <c r="AE584" s="20"/>
      <c r="AF584" s="21"/>
      <c r="AG584" s="19"/>
      <c r="AH584" s="20"/>
      <c r="AI584" s="22"/>
      <c r="AK584" s="23"/>
      <c r="AL584" s="24"/>
      <c r="AP584" s="16"/>
      <c r="AQ584" s="16"/>
      <c r="AR584" s="16"/>
      <c r="AS584" s="16"/>
      <c r="AT584" s="67"/>
      <c r="AU584" s="67"/>
      <c r="AV584" s="67"/>
      <c r="AW584" s="67"/>
      <c r="AY584" s="16"/>
      <c r="AZ584" s="16"/>
      <c r="BA584" s="16"/>
      <c r="BB584" s="16"/>
      <c r="BC584" s="67"/>
      <c r="BD584" s="125"/>
      <c r="BE584" s="67"/>
      <c r="BF584" s="67"/>
      <c r="BM584" s="16"/>
    </row>
    <row r="585" spans="1:65" ht="12.75" customHeight="1" x14ac:dyDescent="0.2">
      <c r="A585" s="16"/>
      <c r="B585" s="212"/>
      <c r="AD585" s="19"/>
      <c r="AE585" s="20"/>
      <c r="AF585" s="21"/>
      <c r="AG585" s="19"/>
      <c r="AH585" s="20"/>
      <c r="AI585" s="22"/>
      <c r="AK585" s="23"/>
      <c r="AL585" s="24"/>
      <c r="AP585" s="16"/>
      <c r="AQ585" s="16"/>
      <c r="AR585" s="16"/>
      <c r="AS585" s="16"/>
      <c r="AT585" s="67"/>
      <c r="AU585" s="67"/>
      <c r="AV585" s="67"/>
      <c r="AW585" s="67"/>
      <c r="AY585" s="16"/>
      <c r="AZ585" s="16"/>
      <c r="BA585" s="16"/>
      <c r="BB585" s="16"/>
      <c r="BC585" s="67"/>
      <c r="BD585" s="125"/>
      <c r="BE585" s="67"/>
      <c r="BF585" s="67"/>
      <c r="BM585" s="16"/>
    </row>
    <row r="586" spans="1:65" ht="12.75" customHeight="1" x14ac:dyDescent="0.2">
      <c r="A586" s="16"/>
      <c r="B586" s="212"/>
      <c r="AD586" s="19"/>
      <c r="AE586" s="20"/>
      <c r="AF586" s="21"/>
      <c r="AG586" s="19"/>
      <c r="AH586" s="20"/>
      <c r="AI586" s="22"/>
      <c r="AK586" s="23"/>
      <c r="AL586" s="24"/>
      <c r="AP586" s="16"/>
      <c r="AQ586" s="16"/>
      <c r="AR586" s="16"/>
      <c r="AS586" s="16"/>
      <c r="AT586" s="67"/>
      <c r="AU586" s="67"/>
      <c r="AV586" s="67"/>
      <c r="AW586" s="67"/>
      <c r="AY586" s="16"/>
      <c r="AZ586" s="16"/>
      <c r="BA586" s="16"/>
      <c r="BB586" s="16"/>
      <c r="BC586" s="67"/>
      <c r="BD586" s="125"/>
      <c r="BE586" s="67"/>
      <c r="BF586" s="67"/>
      <c r="BM586" s="16"/>
    </row>
    <row r="587" spans="1:65" ht="12.75" customHeight="1" x14ac:dyDescent="0.2">
      <c r="A587" s="16"/>
      <c r="B587" s="212"/>
      <c r="AD587" s="19"/>
      <c r="AE587" s="20"/>
      <c r="AF587" s="21"/>
      <c r="AG587" s="19"/>
      <c r="AH587" s="20"/>
      <c r="AI587" s="22"/>
      <c r="AK587" s="23"/>
      <c r="AL587" s="24"/>
      <c r="AP587" s="16"/>
      <c r="AQ587" s="16"/>
      <c r="AR587" s="16"/>
      <c r="AS587" s="16"/>
      <c r="AT587" s="67"/>
      <c r="AU587" s="67"/>
      <c r="AV587" s="67"/>
      <c r="AW587" s="67"/>
      <c r="AY587" s="16"/>
      <c r="AZ587" s="16"/>
      <c r="BA587" s="16"/>
      <c r="BB587" s="16"/>
      <c r="BC587" s="67"/>
      <c r="BD587" s="125"/>
      <c r="BE587" s="67"/>
      <c r="BF587" s="67"/>
      <c r="BM587" s="16"/>
    </row>
    <row r="588" spans="1:65" ht="12.75" customHeight="1" x14ac:dyDescent="0.2">
      <c r="A588" s="16"/>
      <c r="B588" s="212"/>
      <c r="AD588" s="19"/>
      <c r="AE588" s="20"/>
      <c r="AF588" s="21"/>
      <c r="AG588" s="19"/>
      <c r="AH588" s="20"/>
      <c r="AI588" s="22"/>
      <c r="AK588" s="23"/>
      <c r="AL588" s="24"/>
      <c r="AP588" s="16"/>
      <c r="AQ588" s="16"/>
      <c r="AR588" s="16"/>
      <c r="AS588" s="16"/>
      <c r="AT588" s="67"/>
      <c r="AU588" s="67"/>
      <c r="AV588" s="67"/>
      <c r="AW588" s="67"/>
      <c r="AY588" s="16"/>
      <c r="AZ588" s="16"/>
      <c r="BA588" s="16"/>
      <c r="BB588" s="16"/>
      <c r="BC588" s="67"/>
      <c r="BD588" s="125"/>
      <c r="BE588" s="67"/>
      <c r="BF588" s="67"/>
      <c r="BM588" s="16"/>
    </row>
    <row r="589" spans="1:65" ht="12.75" customHeight="1" x14ac:dyDescent="0.2">
      <c r="A589" s="16"/>
      <c r="B589" s="212"/>
      <c r="AD589" s="19"/>
      <c r="AE589" s="20"/>
      <c r="AF589" s="21"/>
      <c r="AG589" s="19"/>
      <c r="AH589" s="20"/>
      <c r="AI589" s="22"/>
      <c r="AK589" s="23"/>
      <c r="AL589" s="24"/>
      <c r="AP589" s="16"/>
      <c r="AQ589" s="16"/>
      <c r="AR589" s="16"/>
      <c r="AS589" s="16"/>
      <c r="AT589" s="67"/>
      <c r="AU589" s="67"/>
      <c r="AV589" s="67"/>
      <c r="AW589" s="67"/>
      <c r="AY589" s="16"/>
      <c r="AZ589" s="16"/>
      <c r="BA589" s="16"/>
      <c r="BB589" s="16"/>
      <c r="BC589" s="67"/>
      <c r="BD589" s="125"/>
      <c r="BE589" s="67"/>
      <c r="BF589" s="67"/>
      <c r="BM589" s="16"/>
    </row>
    <row r="590" spans="1:65" ht="12.75" customHeight="1" x14ac:dyDescent="0.2">
      <c r="A590" s="16"/>
      <c r="B590" s="212"/>
      <c r="AD590" s="19"/>
      <c r="AE590" s="20"/>
      <c r="AF590" s="21"/>
      <c r="AG590" s="19"/>
      <c r="AH590" s="20"/>
      <c r="AI590" s="22"/>
      <c r="AK590" s="23"/>
      <c r="AL590" s="24"/>
      <c r="AP590" s="16"/>
      <c r="AQ590" s="16"/>
      <c r="AR590" s="16"/>
      <c r="AS590" s="16"/>
      <c r="AT590" s="67"/>
      <c r="AU590" s="67"/>
      <c r="AV590" s="67"/>
      <c r="AW590" s="67"/>
      <c r="AY590" s="16"/>
      <c r="AZ590" s="16"/>
      <c r="BA590" s="16"/>
      <c r="BB590" s="16"/>
      <c r="BC590" s="67"/>
      <c r="BD590" s="125"/>
      <c r="BE590" s="67"/>
      <c r="BF590" s="67"/>
      <c r="BM590" s="16"/>
    </row>
    <row r="591" spans="1:65" ht="12.75" customHeight="1" x14ac:dyDescent="0.2">
      <c r="A591" s="16"/>
      <c r="B591" s="212"/>
      <c r="AD591" s="19"/>
      <c r="AE591" s="20"/>
      <c r="AF591" s="21"/>
      <c r="AG591" s="19"/>
      <c r="AH591" s="20"/>
      <c r="AI591" s="22"/>
      <c r="AK591" s="23"/>
      <c r="AL591" s="24"/>
      <c r="AP591" s="16"/>
      <c r="AQ591" s="16"/>
      <c r="AR591" s="16"/>
      <c r="AS591" s="16"/>
      <c r="AT591" s="67"/>
      <c r="AU591" s="67"/>
      <c r="AV591" s="67"/>
      <c r="AW591" s="67"/>
      <c r="AY591" s="16"/>
      <c r="AZ591" s="16"/>
      <c r="BA591" s="16"/>
      <c r="BB591" s="16"/>
      <c r="BC591" s="67"/>
      <c r="BD591" s="125"/>
      <c r="BE591" s="67"/>
      <c r="BF591" s="67"/>
      <c r="BM591" s="16"/>
    </row>
    <row r="592" spans="1:65" ht="12.75" customHeight="1" x14ac:dyDescent="0.2">
      <c r="A592" s="16"/>
      <c r="B592" s="212"/>
      <c r="AD592" s="19"/>
      <c r="AE592" s="20"/>
      <c r="AF592" s="21"/>
      <c r="AG592" s="19"/>
      <c r="AH592" s="20"/>
      <c r="AI592" s="22"/>
      <c r="AK592" s="23"/>
      <c r="AL592" s="24"/>
      <c r="AP592" s="16"/>
      <c r="AQ592" s="16"/>
      <c r="AR592" s="16"/>
      <c r="AS592" s="16"/>
      <c r="AT592" s="67"/>
      <c r="AU592" s="67"/>
      <c r="AV592" s="67"/>
      <c r="AW592" s="67"/>
      <c r="AY592" s="16"/>
      <c r="AZ592" s="16"/>
      <c r="BA592" s="16"/>
      <c r="BB592" s="16"/>
      <c r="BC592" s="67"/>
      <c r="BD592" s="125"/>
      <c r="BE592" s="67"/>
      <c r="BF592" s="67"/>
      <c r="BM592" s="16"/>
    </row>
    <row r="593" spans="1:65" ht="12.75" customHeight="1" x14ac:dyDescent="0.2">
      <c r="A593" s="16"/>
      <c r="B593" s="212"/>
      <c r="AD593" s="19"/>
      <c r="AE593" s="20"/>
      <c r="AF593" s="21"/>
      <c r="AG593" s="19"/>
      <c r="AH593" s="20"/>
      <c r="AI593" s="22"/>
      <c r="AK593" s="23"/>
      <c r="AL593" s="24"/>
      <c r="AP593" s="16"/>
      <c r="AQ593" s="16"/>
      <c r="AR593" s="16"/>
      <c r="AS593" s="16"/>
      <c r="AT593" s="67"/>
      <c r="AU593" s="67"/>
      <c r="AV593" s="67"/>
      <c r="AW593" s="67"/>
      <c r="AY593" s="16"/>
      <c r="AZ593" s="16"/>
      <c r="BA593" s="16"/>
      <c r="BB593" s="16"/>
      <c r="BC593" s="67"/>
      <c r="BD593" s="125"/>
      <c r="BE593" s="67"/>
      <c r="BF593" s="67"/>
      <c r="BM593" s="16"/>
    </row>
    <row r="594" spans="1:65" ht="12.75" customHeight="1" x14ac:dyDescent="0.2">
      <c r="A594" s="16"/>
      <c r="B594" s="212"/>
      <c r="AD594" s="19"/>
      <c r="AE594" s="20"/>
      <c r="AF594" s="21"/>
      <c r="AG594" s="19"/>
      <c r="AH594" s="20"/>
      <c r="AI594" s="22"/>
      <c r="AK594" s="23"/>
      <c r="AL594" s="24"/>
      <c r="AP594" s="16"/>
      <c r="AQ594" s="16"/>
      <c r="AR594" s="16"/>
      <c r="AS594" s="16"/>
      <c r="AT594" s="67"/>
      <c r="AU594" s="67"/>
      <c r="AV594" s="67"/>
      <c r="AW594" s="67"/>
      <c r="AY594" s="16"/>
      <c r="AZ594" s="16"/>
      <c r="BA594" s="16"/>
      <c r="BB594" s="16"/>
      <c r="BC594" s="67"/>
      <c r="BD594" s="125"/>
      <c r="BE594" s="67"/>
      <c r="BF594" s="67"/>
      <c r="BM594" s="16"/>
    </row>
    <row r="595" spans="1:65" ht="12.75" customHeight="1" x14ac:dyDescent="0.2">
      <c r="A595" s="16"/>
      <c r="B595" s="212"/>
      <c r="AD595" s="19"/>
      <c r="AE595" s="20"/>
      <c r="AF595" s="21"/>
      <c r="AG595" s="19"/>
      <c r="AH595" s="20"/>
      <c r="AI595" s="22"/>
      <c r="AK595" s="23"/>
      <c r="AL595" s="24"/>
      <c r="AP595" s="16"/>
      <c r="AQ595" s="16"/>
      <c r="AR595" s="16"/>
      <c r="AS595" s="16"/>
      <c r="AT595" s="67"/>
      <c r="AU595" s="67"/>
      <c r="AV595" s="67"/>
      <c r="AW595" s="67"/>
      <c r="AY595" s="16"/>
      <c r="AZ595" s="16"/>
      <c r="BA595" s="16"/>
      <c r="BB595" s="16"/>
      <c r="BC595" s="67"/>
      <c r="BD595" s="125"/>
      <c r="BE595" s="67"/>
      <c r="BF595" s="67"/>
      <c r="BM595" s="16"/>
    </row>
    <row r="596" spans="1:65" ht="12.75" customHeight="1" x14ac:dyDescent="0.2">
      <c r="A596" s="16"/>
      <c r="B596" s="212"/>
      <c r="AD596" s="19"/>
      <c r="AE596" s="20"/>
      <c r="AF596" s="21"/>
      <c r="AG596" s="19"/>
      <c r="AH596" s="20"/>
      <c r="AI596" s="22"/>
      <c r="AK596" s="23"/>
      <c r="AL596" s="24"/>
      <c r="AP596" s="16"/>
      <c r="AQ596" s="16"/>
      <c r="AR596" s="16"/>
      <c r="AS596" s="16"/>
      <c r="AT596" s="67"/>
      <c r="AU596" s="67"/>
      <c r="AV596" s="67"/>
      <c r="AW596" s="67"/>
      <c r="AY596" s="16"/>
      <c r="AZ596" s="16"/>
      <c r="BA596" s="16"/>
      <c r="BB596" s="16"/>
      <c r="BC596" s="67"/>
      <c r="BD596" s="125"/>
      <c r="BE596" s="67"/>
      <c r="BF596" s="67"/>
      <c r="BM596" s="16"/>
    </row>
    <row r="597" spans="1:65" ht="12.75" customHeight="1" x14ac:dyDescent="0.2">
      <c r="A597" s="16"/>
      <c r="B597" s="212"/>
      <c r="AD597" s="19"/>
      <c r="AE597" s="20"/>
      <c r="AF597" s="21"/>
      <c r="AG597" s="19"/>
      <c r="AH597" s="20"/>
      <c r="AI597" s="22"/>
      <c r="AK597" s="23"/>
      <c r="AL597" s="24"/>
      <c r="AP597" s="16"/>
      <c r="AQ597" s="16"/>
      <c r="AR597" s="16"/>
      <c r="AS597" s="16"/>
      <c r="AT597" s="67"/>
      <c r="AU597" s="67"/>
      <c r="AV597" s="67"/>
      <c r="AW597" s="67"/>
      <c r="AY597" s="16"/>
      <c r="AZ597" s="16"/>
      <c r="BA597" s="16"/>
      <c r="BB597" s="16"/>
      <c r="BC597" s="67"/>
      <c r="BD597" s="125"/>
      <c r="BE597" s="67"/>
      <c r="BF597" s="67"/>
      <c r="BM597" s="16"/>
    </row>
    <row r="598" spans="1:65" ht="12.75" customHeight="1" x14ac:dyDescent="0.2">
      <c r="A598" s="16"/>
      <c r="B598" s="212"/>
      <c r="AD598" s="19"/>
      <c r="AE598" s="20"/>
      <c r="AF598" s="21"/>
      <c r="AG598" s="19"/>
      <c r="AH598" s="20"/>
      <c r="AI598" s="22"/>
      <c r="AK598" s="23"/>
      <c r="AL598" s="24"/>
      <c r="AP598" s="16"/>
      <c r="AQ598" s="16"/>
      <c r="AR598" s="16"/>
      <c r="AS598" s="16"/>
      <c r="AT598" s="67"/>
      <c r="AU598" s="67"/>
      <c r="AV598" s="67"/>
      <c r="AW598" s="67"/>
      <c r="AY598" s="16"/>
      <c r="AZ598" s="16"/>
      <c r="BA598" s="16"/>
      <c r="BB598" s="16"/>
      <c r="BC598" s="67"/>
      <c r="BD598" s="125"/>
      <c r="BE598" s="67"/>
      <c r="BF598" s="67"/>
      <c r="BM598" s="16"/>
    </row>
    <row r="599" spans="1:65" ht="12.75" customHeight="1" x14ac:dyDescent="0.2">
      <c r="A599" s="16"/>
      <c r="B599" s="212"/>
      <c r="AD599" s="19"/>
      <c r="AE599" s="20"/>
      <c r="AF599" s="21"/>
      <c r="AG599" s="19"/>
      <c r="AH599" s="20"/>
      <c r="AI599" s="22"/>
      <c r="AK599" s="23"/>
      <c r="AL599" s="24"/>
      <c r="AP599" s="16"/>
      <c r="AQ599" s="16"/>
      <c r="AR599" s="16"/>
      <c r="AS599" s="16"/>
      <c r="AT599" s="67"/>
      <c r="AU599" s="67"/>
      <c r="AV599" s="67"/>
      <c r="AW599" s="67"/>
      <c r="AY599" s="16"/>
      <c r="AZ599" s="16"/>
      <c r="BA599" s="16"/>
      <c r="BB599" s="16"/>
      <c r="BC599" s="67"/>
      <c r="BD599" s="125"/>
      <c r="BE599" s="67"/>
      <c r="BF599" s="67"/>
      <c r="BM599" s="16"/>
    </row>
    <row r="600" spans="1:65" ht="12.75" customHeight="1" x14ac:dyDescent="0.2">
      <c r="A600" s="16"/>
      <c r="B600" s="212"/>
      <c r="AD600" s="19"/>
      <c r="AE600" s="20"/>
      <c r="AF600" s="21"/>
      <c r="AG600" s="19"/>
      <c r="AH600" s="20"/>
      <c r="AI600" s="22"/>
      <c r="AK600" s="23"/>
      <c r="AL600" s="24"/>
      <c r="AP600" s="16"/>
      <c r="AQ600" s="16"/>
      <c r="AR600" s="16"/>
      <c r="AS600" s="16"/>
      <c r="AT600" s="67"/>
      <c r="AU600" s="67"/>
      <c r="AV600" s="67"/>
      <c r="AW600" s="67"/>
      <c r="AY600" s="16"/>
      <c r="AZ600" s="16"/>
      <c r="BA600" s="16"/>
      <c r="BB600" s="16"/>
      <c r="BC600" s="67"/>
      <c r="BD600" s="125"/>
      <c r="BE600" s="67"/>
      <c r="BF600" s="67"/>
      <c r="BM600" s="16"/>
    </row>
    <row r="601" spans="1:65" ht="12.75" customHeight="1" x14ac:dyDescent="0.2">
      <c r="A601" s="16"/>
      <c r="B601" s="212"/>
      <c r="AD601" s="19"/>
      <c r="AE601" s="20"/>
      <c r="AF601" s="21"/>
      <c r="AG601" s="19"/>
      <c r="AH601" s="20"/>
      <c r="AI601" s="22"/>
      <c r="AK601" s="23"/>
      <c r="AL601" s="24"/>
      <c r="AP601" s="16"/>
      <c r="AQ601" s="16"/>
      <c r="AR601" s="16"/>
      <c r="AS601" s="16"/>
      <c r="AT601" s="67"/>
      <c r="AU601" s="67"/>
      <c r="AV601" s="67"/>
      <c r="AW601" s="67"/>
      <c r="AY601" s="16"/>
      <c r="AZ601" s="16"/>
      <c r="BA601" s="16"/>
      <c r="BB601" s="16"/>
      <c r="BC601" s="67"/>
      <c r="BD601" s="125"/>
      <c r="BE601" s="67"/>
      <c r="BF601" s="67"/>
      <c r="BM601" s="16"/>
    </row>
    <row r="602" spans="1:65" ht="12.75" customHeight="1" x14ac:dyDescent="0.2">
      <c r="A602" s="16"/>
      <c r="B602" s="212"/>
      <c r="AD602" s="19"/>
      <c r="AE602" s="20"/>
      <c r="AF602" s="21"/>
      <c r="AG602" s="19"/>
      <c r="AH602" s="20"/>
      <c r="AI602" s="22"/>
      <c r="AK602" s="23"/>
      <c r="AL602" s="24"/>
      <c r="AP602" s="16"/>
      <c r="AQ602" s="16"/>
      <c r="AR602" s="16"/>
      <c r="AS602" s="16"/>
      <c r="AT602" s="67"/>
      <c r="AU602" s="67"/>
      <c r="AV602" s="67"/>
      <c r="AW602" s="67"/>
      <c r="AY602" s="16"/>
      <c r="AZ602" s="16"/>
      <c r="BA602" s="16"/>
      <c r="BB602" s="16"/>
      <c r="BC602" s="67"/>
      <c r="BD602" s="125"/>
      <c r="BE602" s="67"/>
      <c r="BF602" s="67"/>
      <c r="BM602" s="16"/>
    </row>
    <row r="603" spans="1:65" ht="12.75" customHeight="1" x14ac:dyDescent="0.2">
      <c r="A603" s="16"/>
      <c r="B603" s="212"/>
      <c r="AD603" s="19"/>
      <c r="AE603" s="20"/>
      <c r="AF603" s="21"/>
      <c r="AG603" s="19"/>
      <c r="AH603" s="20"/>
      <c r="AI603" s="22"/>
      <c r="AK603" s="23"/>
      <c r="AL603" s="24"/>
      <c r="AP603" s="16"/>
      <c r="AQ603" s="16"/>
      <c r="AR603" s="16"/>
      <c r="AS603" s="16"/>
      <c r="AT603" s="67"/>
      <c r="AU603" s="67"/>
      <c r="AV603" s="67"/>
      <c r="AW603" s="67"/>
      <c r="AY603" s="16"/>
      <c r="AZ603" s="16"/>
      <c r="BA603" s="16"/>
      <c r="BB603" s="16"/>
      <c r="BC603" s="67"/>
      <c r="BD603" s="125"/>
      <c r="BE603" s="67"/>
      <c r="BF603" s="67"/>
      <c r="BM603" s="16"/>
    </row>
    <row r="604" spans="1:65" ht="12.75" customHeight="1" x14ac:dyDescent="0.2">
      <c r="A604" s="16"/>
      <c r="B604" s="212"/>
      <c r="AD604" s="19"/>
      <c r="AE604" s="20"/>
      <c r="AF604" s="21"/>
      <c r="AG604" s="19"/>
      <c r="AH604" s="20"/>
      <c r="AI604" s="22"/>
      <c r="AK604" s="23"/>
      <c r="AL604" s="24"/>
      <c r="AP604" s="16"/>
      <c r="AQ604" s="16"/>
      <c r="AR604" s="16"/>
      <c r="AS604" s="16"/>
      <c r="AT604" s="67"/>
      <c r="AU604" s="67"/>
      <c r="AV604" s="67"/>
      <c r="AW604" s="67"/>
      <c r="AY604" s="16"/>
      <c r="AZ604" s="16"/>
      <c r="BA604" s="16"/>
      <c r="BB604" s="16"/>
      <c r="BC604" s="67"/>
      <c r="BD604" s="125"/>
      <c r="BE604" s="67"/>
      <c r="BF604" s="67"/>
      <c r="BM604" s="16"/>
    </row>
    <row r="605" spans="1:65" ht="12.75" customHeight="1" x14ac:dyDescent="0.2">
      <c r="A605" s="16"/>
      <c r="B605" s="212"/>
      <c r="AD605" s="19"/>
      <c r="AE605" s="20"/>
      <c r="AF605" s="21"/>
      <c r="AG605" s="19"/>
      <c r="AH605" s="20"/>
      <c r="AI605" s="22"/>
      <c r="AK605" s="23"/>
      <c r="AL605" s="24"/>
      <c r="AP605" s="16"/>
      <c r="AQ605" s="16"/>
      <c r="AR605" s="16"/>
      <c r="AS605" s="16"/>
      <c r="AT605" s="67"/>
      <c r="AU605" s="67"/>
      <c r="AV605" s="67"/>
      <c r="AW605" s="67"/>
      <c r="AY605" s="16"/>
      <c r="AZ605" s="16"/>
      <c r="BA605" s="16"/>
      <c r="BB605" s="16"/>
      <c r="BC605" s="67"/>
      <c r="BD605" s="125"/>
      <c r="BE605" s="67"/>
      <c r="BF605" s="67"/>
      <c r="BM605" s="16"/>
    </row>
    <row r="606" spans="1:65" ht="12.75" customHeight="1" x14ac:dyDescent="0.2">
      <c r="A606" s="16"/>
      <c r="B606" s="212"/>
      <c r="AD606" s="19"/>
      <c r="AE606" s="20"/>
      <c r="AF606" s="21"/>
      <c r="AG606" s="19"/>
      <c r="AH606" s="20"/>
      <c r="AI606" s="22"/>
      <c r="AK606" s="23"/>
      <c r="AL606" s="24"/>
      <c r="AP606" s="16"/>
      <c r="AQ606" s="16"/>
      <c r="AR606" s="16"/>
      <c r="AS606" s="16"/>
      <c r="AT606" s="67"/>
      <c r="AU606" s="67"/>
      <c r="AV606" s="67"/>
      <c r="AW606" s="67"/>
      <c r="AY606" s="16"/>
      <c r="AZ606" s="16"/>
      <c r="BA606" s="16"/>
      <c r="BB606" s="16"/>
      <c r="BC606" s="67"/>
      <c r="BD606" s="125"/>
      <c r="BE606" s="67"/>
      <c r="BF606" s="67"/>
      <c r="BM606" s="16"/>
    </row>
    <row r="607" spans="1:65" ht="12.75" customHeight="1" x14ac:dyDescent="0.2">
      <c r="A607" s="16"/>
      <c r="B607" s="212"/>
      <c r="AD607" s="19"/>
      <c r="AE607" s="20"/>
      <c r="AF607" s="21"/>
      <c r="AG607" s="19"/>
      <c r="AH607" s="20"/>
      <c r="AI607" s="22"/>
      <c r="AK607" s="23"/>
      <c r="AL607" s="24"/>
      <c r="AP607" s="16"/>
      <c r="AQ607" s="16"/>
      <c r="AR607" s="16"/>
      <c r="AS607" s="16"/>
      <c r="AT607" s="67"/>
      <c r="AU607" s="67"/>
      <c r="AV607" s="67"/>
      <c r="AW607" s="67"/>
      <c r="AY607" s="16"/>
      <c r="AZ607" s="16"/>
      <c r="BA607" s="16"/>
      <c r="BB607" s="16"/>
      <c r="BC607" s="67"/>
      <c r="BD607" s="125"/>
      <c r="BE607" s="67"/>
      <c r="BF607" s="67"/>
      <c r="BM607" s="16"/>
    </row>
    <row r="608" spans="1:65" ht="12.75" customHeight="1" x14ac:dyDescent="0.2">
      <c r="A608" s="16"/>
      <c r="B608" s="212"/>
      <c r="AD608" s="19"/>
      <c r="AE608" s="20"/>
      <c r="AF608" s="21"/>
      <c r="AG608" s="19"/>
      <c r="AH608" s="20"/>
      <c r="AI608" s="22"/>
      <c r="AK608" s="23"/>
      <c r="AL608" s="24"/>
      <c r="AP608" s="16"/>
      <c r="AQ608" s="16"/>
      <c r="AR608" s="16"/>
      <c r="AS608" s="16"/>
      <c r="AT608" s="67"/>
      <c r="AU608" s="67"/>
      <c r="AV608" s="67"/>
      <c r="AW608" s="67"/>
      <c r="AY608" s="16"/>
      <c r="AZ608" s="16"/>
      <c r="BA608" s="16"/>
      <c r="BB608" s="16"/>
      <c r="BC608" s="67"/>
      <c r="BD608" s="125"/>
      <c r="BE608" s="67"/>
      <c r="BF608" s="67"/>
      <c r="BM608" s="16"/>
    </row>
  </sheetData>
  <customSheetViews>
    <customSheetView guid="{DAD729B4-E4FB-48DF-AD37-7C7F4A6B05C7}" filter="1" showAutoFilter="1">
      <pageMargins left="0.7" right="0.7" top="0.75" bottom="0.75" header="0.3" footer="0.3"/>
      <autoFilter ref="A6:BT408" xr:uid="{DD1E5E49-05C6-45F1-9E7D-105C3F82F637}">
        <filterColumn colId="32">
          <filters>
            <filter val="0.00%"/>
            <filter val="5.50%"/>
            <filter val="5.75%"/>
            <filter val="5.90%"/>
            <filter val="6.50%"/>
            <filter val="6.75%"/>
            <filter val="7%"/>
            <filter val="7.00%"/>
            <filter val="7.50%"/>
            <filter val="7.75%"/>
          </filters>
        </filterColumn>
      </autoFilter>
      <extLst>
        <ext uri="GoogleSheetsCustomDataVersion1">
          <go:sheetsCustomData xmlns:go="http://customooxmlschemas.google.com/" filterViewId="791523919"/>
        </ext>
      </extLst>
    </customSheetView>
    <customSheetView guid="{BF04FDB0-2893-4A67-9200-06C4A880FAA5}" filter="1" showAutoFilter="1">
      <pageMargins left="0.7" right="0.7" top="0.75" bottom="0.75" header="0.3" footer="0.3"/>
      <autoFilter ref="AD6:AL405" xr:uid="{8BA689D1-69A4-4B2C-8F16-062F31F0CA5A}">
        <filterColumn colId="3">
          <filters>
            <filter val="0.00%"/>
            <filter val="5.50%"/>
            <filter val="5.75%"/>
            <filter val="5.90%"/>
            <filter val="6.50%"/>
            <filter val="6.75%"/>
            <filter val="7%"/>
            <filter val="7.00%"/>
            <filter val="7.50%"/>
            <filter val="7.75%"/>
          </filters>
        </filterColumn>
      </autoFilter>
      <extLst>
        <ext uri="GoogleSheetsCustomDataVersion1">
          <go:sheetsCustomData xmlns:go="http://customooxmlschemas.google.com/" filterViewId="1675726762"/>
        </ext>
      </extLst>
    </customSheetView>
  </customSheetViews>
  <mergeCells count="5">
    <mergeCell ref="V5:AL5"/>
    <mergeCell ref="AP5:AW5"/>
    <mergeCell ref="AY5:BF5"/>
    <mergeCell ref="BH6:BK6"/>
    <mergeCell ref="R399:S399"/>
  </mergeCells>
  <dataValidations count="2">
    <dataValidation type="list" allowBlank="1" showErrorMessage="1" sqref="F7:F371 F373:F382 F391:F398" xr:uid="{00000000-0002-0000-0000-000000000000}">
      <formula1>"Legal Foreclosure,Deed in Lieu"</formula1>
    </dataValidation>
    <dataValidation type="list" allowBlank="1" showErrorMessage="1" sqref="H7:H398" xr:uid="{00000000-0002-0000-0000-000001000000}">
      <formula1>"Sold,REO,sold"</formula1>
    </dataValidation>
  </dataValidations>
  <printOptions horizontalCentered="1" verticalCentered="1"/>
  <pageMargins left="0.196850393700787" right="0.196850393700787" top="0.98425196850393704" bottom="0.98425196850393704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Panamá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Antonio Lo Prete</cp:lastModifiedBy>
  <dcterms:created xsi:type="dcterms:W3CDTF">2026-06-24T12:59:57Z</dcterms:created>
  <dcterms:modified xsi:type="dcterms:W3CDTF">2026-07-01T20:29:27Z</dcterms:modified>
</cp:coreProperties>
</file>